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Q:\Master Audit Workpapers\1. Audit Clients\Amery, WI\Fieldwork\December 31, 2023\"/>
    </mc:Choice>
  </mc:AlternateContent>
  <xr:revisionPtr revIDLastSave="0" documentId="8_{6995201E-4183-4EBC-9613-E01DD09366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ublication" sheetId="21" r:id="rId1"/>
    <sheet name="Revenues" sheetId="1" r:id="rId2"/>
    <sheet name="Budget Request-General Gov't" sheetId="2" r:id="rId3"/>
    <sheet name="Budget Request-Public Safety" sheetId="3" r:id="rId4"/>
    <sheet name="Budget Request-Public Works" sheetId="4" r:id="rId5"/>
    <sheet name="Budget Request-HHS" sheetId="5" r:id="rId6"/>
    <sheet name="Budget Request-Culture, Rec, Ed" sheetId="6" r:id="rId7"/>
    <sheet name="Budget Request-Dev. &amp; Conserv." sheetId="7" r:id="rId8"/>
    <sheet name="Budget Request-Debt Service" sheetId="9" r:id="rId9"/>
    <sheet name="Budget Request-Capital Projects" sheetId="10" r:id="rId10"/>
    <sheet name="Budget Request-TID #6" sheetId="13" r:id="rId11"/>
    <sheet name="Budget Request-TID #7" sheetId="14" r:id="rId12"/>
    <sheet name="Budget Request-TID #8" sheetId="15" r:id="rId13"/>
    <sheet name="Budget Request-TID #9" sheetId="20" r:id="rId14"/>
    <sheet name="Budget Request-Water 610" sheetId="16" r:id="rId15"/>
    <sheet name="Budget Request-Sewer 620" sheetId="17" r:id="rId16"/>
    <sheet name="Library" sheetId="19" r:id="rId17"/>
  </sheets>
  <definedNames>
    <definedName name="_xlnm.Print_Area" localSheetId="0">Publication!$A$1:$N$66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J52" i="21"/>
  <c r="H52" i="21"/>
  <c r="F52" i="21"/>
  <c r="J51" i="21"/>
  <c r="H51" i="21"/>
  <c r="F51" i="21"/>
  <c r="H50" i="21"/>
  <c r="J50" i="21"/>
  <c r="F50" i="21"/>
  <c r="H49" i="21"/>
  <c r="J49" i="21"/>
  <c r="F49" i="21"/>
  <c r="J48" i="21"/>
  <c r="F48" i="21"/>
  <c r="J46" i="21"/>
  <c r="H46" i="21"/>
  <c r="F46" i="21"/>
  <c r="E162" i="1"/>
  <c r="F44" i="21"/>
  <c r="L44" i="21" s="1"/>
  <c r="J44" i="21"/>
  <c r="H44" i="21"/>
  <c r="F20" i="21"/>
  <c r="F18" i="21"/>
  <c r="F17" i="21"/>
  <c r="F16" i="21"/>
  <c r="F15" i="21"/>
  <c r="F14" i="21"/>
  <c r="F13" i="21"/>
  <c r="F21" i="21" s="1"/>
  <c r="N21" i="21" s="1"/>
  <c r="O42" i="2"/>
  <c r="F33" i="21"/>
  <c r="F32" i="21"/>
  <c r="F31" i="21"/>
  <c r="F30" i="21"/>
  <c r="F29" i="21"/>
  <c r="F28" i="21"/>
  <c r="F27" i="21"/>
  <c r="H59" i="21"/>
  <c r="E10" i="1"/>
  <c r="N44" i="21"/>
  <c r="N46" i="21"/>
  <c r="J35" i="21"/>
  <c r="J21" i="21"/>
  <c r="F42" i="21" s="1"/>
  <c r="F54" i="21" s="1"/>
  <c r="L52" i="21" l="1"/>
  <c r="L51" i="21"/>
  <c r="L50" i="21"/>
  <c r="L49" i="21"/>
  <c r="L48" i="21"/>
  <c r="L46" i="21"/>
  <c r="J42" i="21"/>
  <c r="J54" i="21" s="1"/>
  <c r="G33" i="6"/>
  <c r="G21" i="6"/>
  <c r="O7" i="4"/>
  <c r="G81" i="4"/>
  <c r="G63" i="4"/>
  <c r="G55" i="4"/>
  <c r="G23" i="4"/>
  <c r="F12" i="3"/>
  <c r="G54" i="2"/>
  <c r="O18" i="2"/>
  <c r="G25" i="2"/>
  <c r="N108" i="1"/>
  <c r="N106" i="1"/>
  <c r="N93" i="1"/>
  <c r="P100" i="1"/>
  <c r="F43" i="1"/>
  <c r="N94" i="1" s="1"/>
  <c r="N72" i="1"/>
  <c r="N101" i="1" s="1"/>
  <c r="N77" i="1"/>
  <c r="N79" i="1"/>
  <c r="P79" i="1" s="1"/>
  <c r="N80" i="1"/>
  <c r="P80" i="1" s="1"/>
  <c r="N81" i="1"/>
  <c r="P81" i="1" s="1"/>
  <c r="N78" i="1"/>
  <c r="P78" i="1" s="1"/>
  <c r="F22" i="10"/>
  <c r="F26" i="10" s="1"/>
  <c r="F14" i="9"/>
  <c r="F19" i="9" s="1"/>
  <c r="N120" i="1" s="1"/>
  <c r="G37" i="17"/>
  <c r="G41" i="17" s="1"/>
  <c r="N122" i="1" s="1"/>
  <c r="G43" i="16"/>
  <c r="I48" i="16"/>
  <c r="I47" i="16"/>
  <c r="G49" i="16"/>
  <c r="G14" i="20"/>
  <c r="N127" i="1" s="1"/>
  <c r="F12" i="15"/>
  <c r="F16" i="15" s="1"/>
  <c r="N126" i="1" s="1"/>
  <c r="F18" i="14"/>
  <c r="F23" i="14" s="1"/>
  <c r="N125" i="1" s="1"/>
  <c r="F18" i="13"/>
  <c r="F12" i="13"/>
  <c r="G59" i="6"/>
  <c r="G32" i="6"/>
  <c r="G31" i="6"/>
  <c r="G20" i="6"/>
  <c r="G19" i="6"/>
  <c r="G13" i="6"/>
  <c r="F14" i="5"/>
  <c r="N118" i="1" s="1"/>
  <c r="G24" i="2"/>
  <c r="G23" i="2"/>
  <c r="O26" i="4"/>
  <c r="O6" i="4"/>
  <c r="O5" i="4"/>
  <c r="G80" i="4"/>
  <c r="G79" i="4"/>
  <c r="G62" i="4"/>
  <c r="G61" i="4"/>
  <c r="G54" i="4"/>
  <c r="G53" i="4"/>
  <c r="G22" i="4"/>
  <c r="G21" i="4"/>
  <c r="G13" i="4"/>
  <c r="F35" i="3"/>
  <c r="F42" i="3"/>
  <c r="F53" i="3"/>
  <c r="F52" i="3"/>
  <c r="F11" i="3"/>
  <c r="F10" i="3"/>
  <c r="G80" i="2"/>
  <c r="O38" i="2"/>
  <c r="G74" i="2"/>
  <c r="G53" i="2"/>
  <c r="G52" i="2"/>
  <c r="O17" i="2"/>
  <c r="O16" i="2"/>
  <c r="O5" i="2"/>
  <c r="O4" i="2"/>
  <c r="G36" i="2"/>
  <c r="G11" i="2"/>
  <c r="G10" i="2"/>
  <c r="N25" i="1"/>
  <c r="N107" i="1" s="1"/>
  <c r="N14" i="1"/>
  <c r="N105" i="1" s="1"/>
  <c r="N7" i="1"/>
  <c r="N103" i="1" s="1"/>
  <c r="F159" i="1"/>
  <c r="N99" i="1" s="1"/>
  <c r="F130" i="1"/>
  <c r="N95" i="1" s="1"/>
  <c r="F117" i="1"/>
  <c r="N98" i="1" s="1"/>
  <c r="F75" i="1"/>
  <c r="N97" i="1" s="1"/>
  <c r="H34" i="1"/>
  <c r="H35" i="1"/>
  <c r="H36" i="1"/>
  <c r="H37" i="1"/>
  <c r="H38" i="1"/>
  <c r="H39" i="1"/>
  <c r="H40" i="1"/>
  <c r="H41" i="1"/>
  <c r="H42" i="1"/>
  <c r="H33" i="1"/>
  <c r="F65" i="1"/>
  <c r="N96" i="1" s="1"/>
  <c r="H27" i="1"/>
  <c r="H28" i="1"/>
  <c r="H26" i="1"/>
  <c r="F22" i="1"/>
  <c r="H18" i="1"/>
  <c r="H19" i="1"/>
  <c r="H20" i="1"/>
  <c r="H21" i="1"/>
  <c r="H17" i="1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10" i="17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8" i="16"/>
  <c r="I7" i="20"/>
  <c r="H9" i="15"/>
  <c r="H10" i="15"/>
  <c r="H11" i="15"/>
  <c r="H8" i="15"/>
  <c r="H9" i="14"/>
  <c r="H10" i="14"/>
  <c r="H11" i="14"/>
  <c r="H12" i="14"/>
  <c r="H13" i="14"/>
  <c r="H14" i="14"/>
  <c r="H15" i="14"/>
  <c r="H16" i="14"/>
  <c r="H17" i="14"/>
  <c r="H8" i="14"/>
  <c r="H17" i="13"/>
  <c r="H16" i="13"/>
  <c r="H10" i="13"/>
  <c r="H11" i="13"/>
  <c r="H9" i="13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8" i="10"/>
  <c r="H8" i="9"/>
  <c r="H9" i="9"/>
  <c r="H10" i="9"/>
  <c r="H11" i="9"/>
  <c r="H12" i="9"/>
  <c r="H13" i="9"/>
  <c r="H7" i="9"/>
  <c r="H9" i="7"/>
  <c r="H10" i="7"/>
  <c r="H11" i="7"/>
  <c r="H8" i="7"/>
  <c r="I51" i="6"/>
  <c r="I52" i="6"/>
  <c r="I53" i="6"/>
  <c r="I54" i="6"/>
  <c r="I55" i="6"/>
  <c r="I56" i="6"/>
  <c r="I57" i="6"/>
  <c r="I58" i="6"/>
  <c r="I50" i="6"/>
  <c r="I18" i="6"/>
  <c r="I22" i="6"/>
  <c r="I23" i="6"/>
  <c r="I24" i="6"/>
  <c r="I25" i="6"/>
  <c r="I26" i="6"/>
  <c r="I27" i="6"/>
  <c r="I28" i="6"/>
  <c r="I29" i="6"/>
  <c r="I30" i="6"/>
  <c r="I34" i="6"/>
  <c r="I35" i="6"/>
  <c r="I36" i="6"/>
  <c r="I37" i="6"/>
  <c r="I17" i="6"/>
  <c r="I10" i="6"/>
  <c r="I11" i="6"/>
  <c r="I12" i="6"/>
  <c r="I9" i="6"/>
  <c r="H10" i="5"/>
  <c r="H9" i="5"/>
  <c r="Q24" i="4"/>
  <c r="Q25" i="4"/>
  <c r="Q23" i="4"/>
  <c r="Q8" i="4"/>
  <c r="Q9" i="4"/>
  <c r="Q10" i="4"/>
  <c r="Q11" i="4"/>
  <c r="Q12" i="4"/>
  <c r="Q13" i="4"/>
  <c r="Q14" i="4"/>
  <c r="Q15" i="4"/>
  <c r="Q16" i="4"/>
  <c r="Q17" i="4"/>
  <c r="Q18" i="4"/>
  <c r="Q4" i="4"/>
  <c r="I78" i="4"/>
  <c r="I82" i="4"/>
  <c r="I83" i="4"/>
  <c r="I77" i="4"/>
  <c r="I52" i="4"/>
  <c r="I56" i="4"/>
  <c r="I57" i="4"/>
  <c r="I58" i="4"/>
  <c r="I59" i="4"/>
  <c r="I60" i="4"/>
  <c r="I64" i="4"/>
  <c r="I65" i="4"/>
  <c r="I66" i="4"/>
  <c r="I67" i="4"/>
  <c r="I68" i="4"/>
  <c r="I69" i="4"/>
  <c r="I70" i="4"/>
  <c r="I71" i="4"/>
  <c r="I72" i="4"/>
  <c r="I51" i="4"/>
  <c r="F79" i="4"/>
  <c r="I20" i="4"/>
  <c r="I24" i="4"/>
  <c r="I25" i="4"/>
  <c r="I26" i="4"/>
  <c r="I27" i="4"/>
  <c r="I28" i="4"/>
  <c r="I29" i="4"/>
  <c r="I30" i="4"/>
  <c r="I31" i="4"/>
  <c r="I19" i="4"/>
  <c r="I10" i="4"/>
  <c r="I11" i="4"/>
  <c r="I12" i="4"/>
  <c r="I9" i="4"/>
  <c r="H77" i="3"/>
  <c r="H76" i="3"/>
  <c r="H51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50" i="3"/>
  <c r="H41" i="3"/>
  <c r="H40" i="3"/>
  <c r="H34" i="3"/>
  <c r="H33" i="3"/>
  <c r="H9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8" i="3"/>
  <c r="Q30" i="2"/>
  <c r="Q31" i="2"/>
  <c r="Q32" i="2"/>
  <c r="Q33" i="2"/>
  <c r="Q34" i="2"/>
  <c r="Q35" i="2"/>
  <c r="Q36" i="2"/>
  <c r="Q37" i="2"/>
  <c r="Q29" i="2"/>
  <c r="Q15" i="2"/>
  <c r="Q19" i="2"/>
  <c r="Q20" i="2"/>
  <c r="Q21" i="2"/>
  <c r="Q22" i="2"/>
  <c r="Q23" i="2"/>
  <c r="Q14" i="2"/>
  <c r="Q6" i="2"/>
  <c r="Q7" i="2"/>
  <c r="Q8" i="2"/>
  <c r="Q3" i="2"/>
  <c r="I79" i="2"/>
  <c r="I78" i="2"/>
  <c r="I72" i="2"/>
  <c r="I73" i="2"/>
  <c r="I71" i="2"/>
  <c r="I65" i="2"/>
  <c r="I51" i="2"/>
  <c r="I55" i="2"/>
  <c r="I56" i="2"/>
  <c r="I57" i="2"/>
  <c r="I58" i="2"/>
  <c r="I59" i="2"/>
  <c r="I50" i="2"/>
  <c r="I35" i="2"/>
  <c r="I34" i="2"/>
  <c r="I22" i="2"/>
  <c r="I26" i="2"/>
  <c r="I27" i="2"/>
  <c r="I28" i="2"/>
  <c r="I29" i="2"/>
  <c r="I21" i="2"/>
  <c r="I12" i="2"/>
  <c r="I13" i="2"/>
  <c r="I14" i="2"/>
  <c r="I15" i="2"/>
  <c r="I9" i="2"/>
  <c r="P104" i="1"/>
  <c r="P91" i="1"/>
  <c r="P82" i="1"/>
  <c r="P83" i="1"/>
  <c r="P84" i="1"/>
  <c r="P85" i="1"/>
  <c r="P63" i="1"/>
  <c r="P64" i="1"/>
  <c r="P65" i="1"/>
  <c r="P66" i="1"/>
  <c r="P67" i="1"/>
  <c r="P68" i="1"/>
  <c r="P69" i="1"/>
  <c r="P70" i="1"/>
  <c r="P71" i="1"/>
  <c r="P62" i="1"/>
  <c r="P51" i="1"/>
  <c r="P52" i="1"/>
  <c r="P53" i="1"/>
  <c r="P54" i="1"/>
  <c r="P55" i="1"/>
  <c r="P56" i="1"/>
  <c r="P50" i="1"/>
  <c r="P29" i="1"/>
  <c r="P24" i="1"/>
  <c r="P23" i="1"/>
  <c r="P18" i="1"/>
  <c r="P12" i="1"/>
  <c r="P13" i="1"/>
  <c r="P11" i="1"/>
  <c r="P4" i="1"/>
  <c r="P5" i="1"/>
  <c r="P6" i="1"/>
  <c r="P3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41" i="1"/>
  <c r="H126" i="1"/>
  <c r="H127" i="1"/>
  <c r="H128" i="1"/>
  <c r="H129" i="1"/>
  <c r="H125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96" i="1"/>
  <c r="H71" i="1"/>
  <c r="H72" i="1"/>
  <c r="H73" i="1"/>
  <c r="H74" i="1"/>
  <c r="H7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50" i="1"/>
  <c r="H11" i="1"/>
  <c r="E12" i="1"/>
  <c r="F21" i="6"/>
  <c r="F33" i="6"/>
  <c r="N7" i="4"/>
  <c r="F81" i="4"/>
  <c r="F63" i="4"/>
  <c r="F55" i="4"/>
  <c r="F23" i="4"/>
  <c r="E12" i="3"/>
  <c r="F54" i="2"/>
  <c r="N18" i="2"/>
  <c r="E22" i="10"/>
  <c r="E14" i="9"/>
  <c r="E19" i="9" s="1"/>
  <c r="F12" i="1" l="1"/>
  <c r="H12" i="1" s="1"/>
  <c r="N42" i="21"/>
  <c r="N54" i="21" s="1"/>
  <c r="F72" i="3"/>
  <c r="I23" i="4"/>
  <c r="H10" i="1"/>
  <c r="G60" i="2"/>
  <c r="Q18" i="2"/>
  <c r="O19" i="4"/>
  <c r="G16" i="2"/>
  <c r="G30" i="2"/>
  <c r="O9" i="2"/>
  <c r="F22" i="13"/>
  <c r="N124" i="1" s="1"/>
  <c r="I33" i="6"/>
  <c r="H22" i="10"/>
  <c r="G32" i="4"/>
  <c r="N92" i="1"/>
  <c r="P77" i="1"/>
  <c r="N86" i="1"/>
  <c r="N102" i="1" s="1"/>
  <c r="G53" i="16"/>
  <c r="N123" i="1" s="1"/>
  <c r="J63" i="21"/>
  <c r="L63" i="21" s="1"/>
  <c r="F27" i="3"/>
  <c r="N128" i="1"/>
  <c r="N109" i="1"/>
  <c r="P109" i="1" s="1"/>
  <c r="I21" i="6"/>
  <c r="G84" i="4"/>
  <c r="H19" i="9"/>
  <c r="I55" i="4"/>
  <c r="G73" i="4"/>
  <c r="I81" i="4"/>
  <c r="G38" i="6"/>
  <c r="G64" i="6" s="1"/>
  <c r="N119" i="1" s="1"/>
  <c r="H12" i="3"/>
  <c r="N121" i="1"/>
  <c r="O24" i="2"/>
  <c r="Q7" i="4"/>
  <c r="I79" i="4"/>
  <c r="I63" i="4"/>
  <c r="I54" i="2"/>
  <c r="H14" i="9"/>
  <c r="M86" i="1"/>
  <c r="M72" i="1"/>
  <c r="M57" i="1"/>
  <c r="P57" i="1" s="1"/>
  <c r="M30" i="1"/>
  <c r="M25" i="1"/>
  <c r="M19" i="1"/>
  <c r="M14" i="1"/>
  <c r="E159" i="1"/>
  <c r="E130" i="1"/>
  <c r="E117" i="1"/>
  <c r="E75" i="1"/>
  <c r="E65" i="1"/>
  <c r="E43" i="1"/>
  <c r="M94" i="1" s="1"/>
  <c r="P94" i="1" s="1"/>
  <c r="E29" i="1"/>
  <c r="E22" i="1"/>
  <c r="M92" i="1" s="1"/>
  <c r="M7" i="1"/>
  <c r="M120" i="1"/>
  <c r="P120" i="1" s="1"/>
  <c r="F59" i="21" l="1"/>
  <c r="F61" i="21" s="1"/>
  <c r="F162" i="1"/>
  <c r="F26" i="21"/>
  <c r="F35" i="21" s="1"/>
  <c r="P35" i="21" s="1"/>
  <c r="F82" i="3"/>
  <c r="N116" i="1" s="1"/>
  <c r="P92" i="1"/>
  <c r="N115" i="1"/>
  <c r="O30" i="4"/>
  <c r="N117" i="1" s="1"/>
  <c r="H22" i="1"/>
  <c r="N110" i="1"/>
  <c r="H43" i="1"/>
  <c r="M93" i="1"/>
  <c r="P93" i="1" s="1"/>
  <c r="H29" i="1"/>
  <c r="M98" i="1"/>
  <c r="P98" i="1" s="1"/>
  <c r="H117" i="1"/>
  <c r="M108" i="1"/>
  <c r="P108" i="1" s="1"/>
  <c r="P30" i="1"/>
  <c r="M95" i="1"/>
  <c r="P95" i="1" s="1"/>
  <c r="H130" i="1"/>
  <c r="M105" i="1"/>
  <c r="P105" i="1" s="1"/>
  <c r="P14" i="1"/>
  <c r="M103" i="1"/>
  <c r="P103" i="1" s="1"/>
  <c r="P7" i="1"/>
  <c r="M99" i="1"/>
  <c r="P99" i="1" s="1"/>
  <c r="H159" i="1"/>
  <c r="M101" i="1"/>
  <c r="P101" i="1" s="1"/>
  <c r="P72" i="1"/>
  <c r="M102" i="1"/>
  <c r="P102" i="1" s="1"/>
  <c r="P86" i="1"/>
  <c r="M96" i="1"/>
  <c r="P96" i="1" s="1"/>
  <c r="H65" i="1"/>
  <c r="M106" i="1"/>
  <c r="P106" i="1" s="1"/>
  <c r="P19" i="1"/>
  <c r="M97" i="1"/>
  <c r="P97" i="1" s="1"/>
  <c r="H75" i="1"/>
  <c r="M107" i="1"/>
  <c r="P107" i="1" s="1"/>
  <c r="P25" i="1"/>
  <c r="M121" i="1"/>
  <c r="P121" i="1" s="1"/>
  <c r="F8" i="20"/>
  <c r="I8" i="20" s="1"/>
  <c r="E12" i="15"/>
  <c r="E18" i="14"/>
  <c r="H18" i="14" s="1"/>
  <c r="E18" i="13"/>
  <c r="H18" i="13" s="1"/>
  <c r="E12" i="13"/>
  <c r="H12" i="13" s="1"/>
  <c r="F37" i="17"/>
  <c r="F49" i="16"/>
  <c r="I49" i="16" s="1"/>
  <c r="F59" i="6"/>
  <c r="I59" i="6" s="1"/>
  <c r="F32" i="6"/>
  <c r="I32" i="6" s="1"/>
  <c r="F31" i="6"/>
  <c r="I31" i="6" s="1"/>
  <c r="F20" i="6"/>
  <c r="I20" i="6" s="1"/>
  <c r="F19" i="6"/>
  <c r="I19" i="6" s="1"/>
  <c r="F13" i="6"/>
  <c r="I13" i="6" s="1"/>
  <c r="N26" i="4"/>
  <c r="Q26" i="4" s="1"/>
  <c r="N6" i="4"/>
  <c r="Q6" i="4" s="1"/>
  <c r="N5" i="4"/>
  <c r="F80" i="4"/>
  <c r="F62" i="4"/>
  <c r="I62" i="4" s="1"/>
  <c r="F61" i="4"/>
  <c r="I61" i="4" s="1"/>
  <c r="F54" i="4"/>
  <c r="I54" i="4" s="1"/>
  <c r="F53" i="4"/>
  <c r="I53" i="4" s="1"/>
  <c r="H42" i="21" l="1"/>
  <c r="H54" i="21" s="1"/>
  <c r="N35" i="21"/>
  <c r="N129" i="1"/>
  <c r="N19" i="4"/>
  <c r="Q19" i="4" s="1"/>
  <c r="Q5" i="4"/>
  <c r="E16" i="15"/>
  <c r="H12" i="15"/>
  <c r="F41" i="17"/>
  <c r="I37" i="17"/>
  <c r="M110" i="1"/>
  <c r="P110" i="1" s="1"/>
  <c r="F84" i="4"/>
  <c r="I84" i="4" s="1"/>
  <c r="I80" i="4"/>
  <c r="F73" i="4"/>
  <c r="I73" i="4" s="1"/>
  <c r="F38" i="6"/>
  <c r="I38" i="6" s="1"/>
  <c r="F22" i="4"/>
  <c r="I22" i="4" s="1"/>
  <c r="F21" i="4"/>
  <c r="H61" i="21" l="1"/>
  <c r="J61" i="21" s="1"/>
  <c r="L61" i="21" s="1"/>
  <c r="J59" i="21"/>
  <c r="L59" i="21" s="1"/>
  <c r="M122" i="1"/>
  <c r="P122" i="1" s="1"/>
  <c r="I41" i="17"/>
  <c r="M126" i="1"/>
  <c r="P126" i="1" s="1"/>
  <c r="H16" i="15"/>
  <c r="F32" i="4"/>
  <c r="I32" i="4" s="1"/>
  <c r="I21" i="4"/>
  <c r="F13" i="4"/>
  <c r="I13" i="4" s="1"/>
  <c r="E53" i="3"/>
  <c r="H53" i="3" s="1"/>
  <c r="E52" i="3"/>
  <c r="E42" i="3"/>
  <c r="H42" i="3" s="1"/>
  <c r="E72" i="3" l="1"/>
  <c r="H72" i="3" s="1"/>
  <c r="H52" i="3"/>
  <c r="N17" i="2"/>
  <c r="Q17" i="2" s="1"/>
  <c r="N16" i="2"/>
  <c r="N38" i="2"/>
  <c r="Q38" i="2" s="1"/>
  <c r="N5" i="2"/>
  <c r="Q5" i="2" s="1"/>
  <c r="N4" i="2"/>
  <c r="F80" i="2"/>
  <c r="I80" i="2" s="1"/>
  <c r="F66" i="2"/>
  <c r="I66" i="2" s="1"/>
  <c r="F53" i="2"/>
  <c r="I53" i="2" s="1"/>
  <c r="F52" i="2"/>
  <c r="I52" i="2" s="1"/>
  <c r="F36" i="2"/>
  <c r="I36" i="2" s="1"/>
  <c r="F25" i="2"/>
  <c r="I25" i="2" s="1"/>
  <c r="F24" i="2"/>
  <c r="I24" i="2" s="1"/>
  <c r="F23" i="2"/>
  <c r="N24" i="2" l="1"/>
  <c r="Q24" i="2" s="1"/>
  <c r="Q16" i="2"/>
  <c r="F30" i="2"/>
  <c r="I30" i="2" s="1"/>
  <c r="I23" i="2"/>
  <c r="N9" i="2"/>
  <c r="Q9" i="2" s="1"/>
  <c r="Q4" i="2"/>
  <c r="F60" i="2"/>
  <c r="I60" i="2" s="1"/>
  <c r="E11" i="2"/>
  <c r="F11" i="2"/>
  <c r="I11" i="2" s="1"/>
  <c r="E10" i="2"/>
  <c r="F10" i="2"/>
  <c r="I10" i="2" s="1"/>
  <c r="F16" i="2" l="1"/>
  <c r="I16" i="2" s="1"/>
  <c r="O78" i="1"/>
  <c r="O79" i="1"/>
  <c r="O80" i="1"/>
  <c r="O81" i="1"/>
  <c r="O82" i="1"/>
  <c r="O83" i="1"/>
  <c r="O84" i="1"/>
  <c r="O85" i="1"/>
  <c r="O77" i="1"/>
  <c r="O63" i="1"/>
  <c r="O64" i="1"/>
  <c r="O65" i="1"/>
  <c r="O66" i="1"/>
  <c r="O67" i="1"/>
  <c r="O68" i="1"/>
  <c r="O69" i="1"/>
  <c r="O70" i="1"/>
  <c r="O71" i="1"/>
  <c r="O62" i="1"/>
  <c r="O51" i="1"/>
  <c r="O52" i="1"/>
  <c r="O53" i="1"/>
  <c r="O54" i="1"/>
  <c r="O55" i="1"/>
  <c r="O56" i="1"/>
  <c r="O50" i="1"/>
  <c r="O120" i="1"/>
  <c r="O121" i="1"/>
  <c r="O122" i="1"/>
  <c r="O126" i="1"/>
  <c r="O100" i="1"/>
  <c r="O104" i="1"/>
  <c r="O108" i="1"/>
  <c r="O29" i="1"/>
  <c r="O24" i="1"/>
  <c r="O23" i="1"/>
  <c r="O18" i="1"/>
  <c r="O12" i="1"/>
  <c r="O13" i="1"/>
  <c r="O11" i="1"/>
  <c r="O4" i="1"/>
  <c r="O5" i="1"/>
  <c r="O6" i="1"/>
  <c r="O3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41" i="1"/>
  <c r="G126" i="1"/>
  <c r="G127" i="1"/>
  <c r="G128" i="1"/>
  <c r="G129" i="1"/>
  <c r="G125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96" i="1"/>
  <c r="G71" i="1"/>
  <c r="G72" i="1"/>
  <c r="G73" i="1"/>
  <c r="G74" i="1"/>
  <c r="G7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50" i="1"/>
  <c r="G34" i="1"/>
  <c r="G35" i="1"/>
  <c r="G36" i="1"/>
  <c r="G37" i="1"/>
  <c r="G38" i="1"/>
  <c r="G39" i="1"/>
  <c r="G40" i="1"/>
  <c r="G41" i="1"/>
  <c r="G42" i="1"/>
  <c r="G33" i="1"/>
  <c r="G27" i="1"/>
  <c r="G28" i="1"/>
  <c r="G26" i="1"/>
  <c r="G18" i="1"/>
  <c r="G19" i="1"/>
  <c r="G20" i="1"/>
  <c r="G21" i="1"/>
  <c r="G17" i="1"/>
  <c r="G11" i="1"/>
  <c r="G10" i="1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10" i="17"/>
  <c r="H48" i="16"/>
  <c r="H47" i="16"/>
  <c r="F43" i="16"/>
  <c r="I43" i="16" s="1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8" i="16"/>
  <c r="H7" i="20"/>
  <c r="F14" i="20"/>
  <c r="I14" i="20" s="1"/>
  <c r="G9" i="15"/>
  <c r="G11" i="15"/>
  <c r="G8" i="15"/>
  <c r="E23" i="14"/>
  <c r="G9" i="14"/>
  <c r="G10" i="14"/>
  <c r="G11" i="14"/>
  <c r="G12" i="14"/>
  <c r="G13" i="14"/>
  <c r="G14" i="14"/>
  <c r="G15" i="14"/>
  <c r="G16" i="14"/>
  <c r="G17" i="14"/>
  <c r="G8" i="14"/>
  <c r="E22" i="13"/>
  <c r="G17" i="13"/>
  <c r="G16" i="13"/>
  <c r="G10" i="13"/>
  <c r="G11" i="13"/>
  <c r="G9" i="13"/>
  <c r="E26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8" i="10"/>
  <c r="G8" i="9"/>
  <c r="G9" i="9"/>
  <c r="G10" i="9"/>
  <c r="G11" i="9"/>
  <c r="G12" i="9"/>
  <c r="G13" i="9"/>
  <c r="G7" i="9"/>
  <c r="G9" i="7"/>
  <c r="G10" i="7"/>
  <c r="G8" i="7"/>
  <c r="H51" i="6"/>
  <c r="H52" i="6"/>
  <c r="H53" i="6"/>
  <c r="H54" i="6"/>
  <c r="H55" i="6"/>
  <c r="H56" i="6"/>
  <c r="H57" i="6"/>
  <c r="H58" i="6"/>
  <c r="H50" i="6"/>
  <c r="F64" i="6"/>
  <c r="I64" i="6" s="1"/>
  <c r="H18" i="6"/>
  <c r="H22" i="6"/>
  <c r="H23" i="6"/>
  <c r="H24" i="6"/>
  <c r="H25" i="6"/>
  <c r="H26" i="6"/>
  <c r="H27" i="6"/>
  <c r="H28" i="6"/>
  <c r="H29" i="6"/>
  <c r="H30" i="6"/>
  <c r="H34" i="6"/>
  <c r="H35" i="6"/>
  <c r="H36" i="6"/>
  <c r="H37" i="6"/>
  <c r="H17" i="6"/>
  <c r="H10" i="6"/>
  <c r="H11" i="6"/>
  <c r="H12" i="6"/>
  <c r="H9" i="6"/>
  <c r="G9" i="5"/>
  <c r="E14" i="5"/>
  <c r="H14" i="5" s="1"/>
  <c r="N30" i="4"/>
  <c r="Q30" i="4" s="1"/>
  <c r="P24" i="4"/>
  <c r="P25" i="4"/>
  <c r="P23" i="4"/>
  <c r="P8" i="4"/>
  <c r="P9" i="4"/>
  <c r="P10" i="4"/>
  <c r="P11" i="4"/>
  <c r="P12" i="4"/>
  <c r="P13" i="4"/>
  <c r="P14" i="4"/>
  <c r="P15" i="4"/>
  <c r="P16" i="4"/>
  <c r="P17" i="4"/>
  <c r="P18" i="4"/>
  <c r="P4" i="4"/>
  <c r="H78" i="4"/>
  <c r="H82" i="4"/>
  <c r="H83" i="4"/>
  <c r="H77" i="4"/>
  <c r="H52" i="4"/>
  <c r="H56" i="4"/>
  <c r="H57" i="4"/>
  <c r="H58" i="4"/>
  <c r="H59" i="4"/>
  <c r="H60" i="4"/>
  <c r="H64" i="4"/>
  <c r="H65" i="4"/>
  <c r="H66" i="4"/>
  <c r="H67" i="4"/>
  <c r="H68" i="4"/>
  <c r="H69" i="4"/>
  <c r="H70" i="4"/>
  <c r="H71" i="4"/>
  <c r="H72" i="4"/>
  <c r="H51" i="4"/>
  <c r="H20" i="4"/>
  <c r="H24" i="4"/>
  <c r="H25" i="4"/>
  <c r="H26" i="4"/>
  <c r="H27" i="4"/>
  <c r="H28" i="4"/>
  <c r="H29" i="4"/>
  <c r="H30" i="4"/>
  <c r="H31" i="4"/>
  <c r="H19" i="4"/>
  <c r="H10" i="4"/>
  <c r="H11" i="4"/>
  <c r="H12" i="4"/>
  <c r="H9" i="4"/>
  <c r="P30" i="2"/>
  <c r="P31" i="2"/>
  <c r="P32" i="2"/>
  <c r="P33" i="2"/>
  <c r="P34" i="2"/>
  <c r="P35" i="2"/>
  <c r="P36" i="2"/>
  <c r="P37" i="2"/>
  <c r="P29" i="2"/>
  <c r="P15" i="2"/>
  <c r="P19" i="2"/>
  <c r="P20" i="2"/>
  <c r="P21" i="2"/>
  <c r="P22" i="2"/>
  <c r="P23" i="2"/>
  <c r="P14" i="2"/>
  <c r="P4" i="2"/>
  <c r="P5" i="2"/>
  <c r="P6" i="2"/>
  <c r="P7" i="2"/>
  <c r="P8" i="2"/>
  <c r="P3" i="2"/>
  <c r="F74" i="2"/>
  <c r="H79" i="2"/>
  <c r="H78" i="2"/>
  <c r="H72" i="2"/>
  <c r="H73" i="2"/>
  <c r="H71" i="2"/>
  <c r="H65" i="2"/>
  <c r="H51" i="2"/>
  <c r="H55" i="2"/>
  <c r="H56" i="2"/>
  <c r="H57" i="2"/>
  <c r="H58" i="2"/>
  <c r="H59" i="2"/>
  <c r="H50" i="2"/>
  <c r="H35" i="2"/>
  <c r="H34" i="2"/>
  <c r="H22" i="2"/>
  <c r="H26" i="2"/>
  <c r="H27" i="2"/>
  <c r="H28" i="2"/>
  <c r="H29" i="2"/>
  <c r="H21" i="2"/>
  <c r="H10" i="2"/>
  <c r="H11" i="2"/>
  <c r="H12" i="2"/>
  <c r="H13" i="2"/>
  <c r="H14" i="2"/>
  <c r="H15" i="2"/>
  <c r="H9" i="2"/>
  <c r="G77" i="3"/>
  <c r="G76" i="3"/>
  <c r="G51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50" i="3"/>
  <c r="E35" i="3"/>
  <c r="H35" i="3" s="1"/>
  <c r="G34" i="3"/>
  <c r="G33" i="3"/>
  <c r="G41" i="3"/>
  <c r="G40" i="3"/>
  <c r="L42" i="21" l="1"/>
  <c r="L54" i="21" s="1"/>
  <c r="N42" i="2"/>
  <c r="I74" i="2"/>
  <c r="M125" i="1"/>
  <c r="O125" i="1" s="1"/>
  <c r="H23" i="14"/>
  <c r="M128" i="1"/>
  <c r="O128" i="1" s="1"/>
  <c r="H26" i="10"/>
  <c r="M124" i="1"/>
  <c r="P124" i="1" s="1"/>
  <c r="H22" i="13"/>
  <c r="M118" i="1"/>
  <c r="M117" i="1"/>
  <c r="M127" i="1"/>
  <c r="M119" i="1"/>
  <c r="F53" i="16"/>
  <c r="G14" i="3"/>
  <c r="G15" i="3"/>
  <c r="G16" i="3"/>
  <c r="G17" i="3"/>
  <c r="P125" i="1" l="1"/>
  <c r="P128" i="1"/>
  <c r="M123" i="1"/>
  <c r="P123" i="1" s="1"/>
  <c r="I53" i="16"/>
  <c r="O124" i="1"/>
  <c r="M115" i="1"/>
  <c r="Q42" i="2"/>
  <c r="O119" i="1"/>
  <c r="P119" i="1"/>
  <c r="O117" i="1"/>
  <c r="P117" i="1"/>
  <c r="O127" i="1"/>
  <c r="P127" i="1"/>
  <c r="O118" i="1"/>
  <c r="P118" i="1"/>
  <c r="E11" i="3"/>
  <c r="H11" i="3" s="1"/>
  <c r="E10" i="3"/>
  <c r="H10" i="3" s="1"/>
  <c r="O123" i="1" l="1"/>
  <c r="O115" i="1"/>
  <c r="P115" i="1"/>
  <c r="E27" i="3"/>
  <c r="G9" i="3"/>
  <c r="G13" i="3"/>
  <c r="G18" i="3"/>
  <c r="G19" i="3"/>
  <c r="G20" i="3"/>
  <c r="G21" i="3"/>
  <c r="G22" i="3"/>
  <c r="G23" i="3"/>
  <c r="G24" i="3"/>
  <c r="G25" i="3"/>
  <c r="G26" i="3"/>
  <c r="G8" i="3"/>
  <c r="E82" i="3" l="1"/>
  <c r="H27" i="3"/>
  <c r="L57" i="1"/>
  <c r="L72" i="1"/>
  <c r="O72" i="1" s="1"/>
  <c r="L86" i="1"/>
  <c r="O86" i="1" s="1"/>
  <c r="L129" i="1"/>
  <c r="D14" i="9"/>
  <c r="E66" i="2"/>
  <c r="D43" i="1"/>
  <c r="D12" i="1"/>
  <c r="L30" i="1"/>
  <c r="O30" i="1" s="1"/>
  <c r="D22" i="1"/>
  <c r="D29" i="1"/>
  <c r="D75" i="1"/>
  <c r="L25" i="1"/>
  <c r="L19" i="1"/>
  <c r="O19" i="1" s="1"/>
  <c r="L14" i="1"/>
  <c r="D159" i="1"/>
  <c r="D117" i="1"/>
  <c r="G117" i="1" s="1"/>
  <c r="D130" i="1"/>
  <c r="D65" i="1"/>
  <c r="L7" i="1"/>
  <c r="D22" i="10"/>
  <c r="G22" i="10" s="1"/>
  <c r="E8" i="20"/>
  <c r="H8" i="20" s="1"/>
  <c r="D12" i="15"/>
  <c r="D18" i="14"/>
  <c r="D18" i="13"/>
  <c r="G18" i="13" s="1"/>
  <c r="D12" i="13"/>
  <c r="G12" i="13" s="1"/>
  <c r="M26" i="4"/>
  <c r="E81" i="4"/>
  <c r="H81" i="4" s="1"/>
  <c r="E80" i="4"/>
  <c r="H80" i="4" s="1"/>
  <c r="E79" i="4"/>
  <c r="E63" i="4"/>
  <c r="H63" i="4" s="1"/>
  <c r="E62" i="4"/>
  <c r="H62" i="4" s="1"/>
  <c r="E61" i="4"/>
  <c r="H61" i="4" s="1"/>
  <c r="E37" i="17"/>
  <c r="E49" i="16"/>
  <c r="E43" i="16"/>
  <c r="H43" i="16" s="1"/>
  <c r="E59" i="6"/>
  <c r="H59" i="6" s="1"/>
  <c r="E33" i="6"/>
  <c r="H33" i="6" s="1"/>
  <c r="E32" i="6"/>
  <c r="H32" i="6" s="1"/>
  <c r="E31" i="6"/>
  <c r="H31" i="6" s="1"/>
  <c r="M7" i="4"/>
  <c r="M6" i="4"/>
  <c r="M5" i="4"/>
  <c r="D11" i="7"/>
  <c r="G11" i="7" s="1"/>
  <c r="E21" i="6"/>
  <c r="H21" i="6" s="1"/>
  <c r="E20" i="6"/>
  <c r="H20" i="6" s="1"/>
  <c r="E19" i="6"/>
  <c r="E13" i="6"/>
  <c r="D14" i="5"/>
  <c r="G14" i="5" s="1"/>
  <c r="D10" i="5"/>
  <c r="G10" i="5" s="1"/>
  <c r="E55" i="4"/>
  <c r="H55" i="4" s="1"/>
  <c r="E54" i="4"/>
  <c r="H54" i="4" s="1"/>
  <c r="E53" i="4"/>
  <c r="H53" i="4" s="1"/>
  <c r="E23" i="4"/>
  <c r="H23" i="4" s="1"/>
  <c r="E22" i="4"/>
  <c r="H22" i="4" s="1"/>
  <c r="E21" i="4"/>
  <c r="E13" i="4"/>
  <c r="H13" i="4" s="1"/>
  <c r="D53" i="3"/>
  <c r="G53" i="3" s="1"/>
  <c r="D52" i="3"/>
  <c r="G52" i="3" s="1"/>
  <c r="D11" i="3"/>
  <c r="D10" i="3"/>
  <c r="D12" i="3"/>
  <c r="D42" i="3"/>
  <c r="G42" i="3" s="1"/>
  <c r="D35" i="3"/>
  <c r="E16" i="2"/>
  <c r="H16" i="2" s="1"/>
  <c r="E25" i="2"/>
  <c r="E24" i="2"/>
  <c r="E23" i="2"/>
  <c r="H23" i="2" s="1"/>
  <c r="M18" i="2"/>
  <c r="P18" i="2" s="1"/>
  <c r="M17" i="2"/>
  <c r="P17" i="2" s="1"/>
  <c r="M16" i="2"/>
  <c r="P16" i="2" s="1"/>
  <c r="M38" i="2"/>
  <c r="P38" i="2" s="1"/>
  <c r="M9" i="2"/>
  <c r="P9" i="2" s="1"/>
  <c r="E80" i="2"/>
  <c r="H80" i="2" s="1"/>
  <c r="E74" i="2"/>
  <c r="H74" i="2" s="1"/>
  <c r="E53" i="2"/>
  <c r="H53" i="2" s="1"/>
  <c r="E52" i="2"/>
  <c r="H52" i="2" s="1"/>
  <c r="E54" i="2"/>
  <c r="H54" i="2" s="1"/>
  <c r="E36" i="2"/>
  <c r="H36" i="2" s="1"/>
  <c r="L102" i="1" l="1"/>
  <c r="O102" i="1" s="1"/>
  <c r="M116" i="1"/>
  <c r="H82" i="3"/>
  <c r="P6" i="4"/>
  <c r="P7" i="4"/>
  <c r="P26" i="4"/>
  <c r="P5" i="4"/>
  <c r="L101" i="1"/>
  <c r="O101" i="1" s="1"/>
  <c r="L98" i="1"/>
  <c r="O98" i="1" s="1"/>
  <c r="L94" i="1"/>
  <c r="G43" i="1"/>
  <c r="E38" i="6"/>
  <c r="H38" i="6" s="1"/>
  <c r="H19" i="6"/>
  <c r="D23" i="14"/>
  <c r="G23" i="14" s="1"/>
  <c r="G18" i="14"/>
  <c r="L95" i="1"/>
  <c r="G130" i="1"/>
  <c r="G75" i="1"/>
  <c r="L96" i="1"/>
  <c r="G65" i="1"/>
  <c r="O57" i="1"/>
  <c r="L107" i="1"/>
  <c r="O25" i="1"/>
  <c r="M19" i="4"/>
  <c r="L93" i="1"/>
  <c r="G29" i="1"/>
  <c r="D19" i="9"/>
  <c r="G19" i="9" s="1"/>
  <c r="G14" i="9"/>
  <c r="G35" i="3"/>
  <c r="L105" i="1"/>
  <c r="O14" i="1"/>
  <c r="G10" i="3"/>
  <c r="D27" i="3"/>
  <c r="L91" i="1"/>
  <c r="G12" i="1"/>
  <c r="H13" i="6"/>
  <c r="E41" i="17"/>
  <c r="H41" i="17" s="1"/>
  <c r="H37" i="17"/>
  <c r="L103" i="1"/>
  <c r="O7" i="1"/>
  <c r="L99" i="1"/>
  <c r="G159" i="1"/>
  <c r="L92" i="1"/>
  <c r="G22" i="1"/>
  <c r="L106" i="1"/>
  <c r="D16" i="15"/>
  <c r="G12" i="15"/>
  <c r="H24" i="2"/>
  <c r="H25" i="2"/>
  <c r="H66" i="2"/>
  <c r="L97" i="1"/>
  <c r="H49" i="16"/>
  <c r="E32" i="4"/>
  <c r="H32" i="4" s="1"/>
  <c r="H21" i="4"/>
  <c r="E84" i="4"/>
  <c r="H84" i="4" s="1"/>
  <c r="H79" i="4"/>
  <c r="D72" i="3"/>
  <c r="G72" i="3" s="1"/>
  <c r="E73" i="4"/>
  <c r="H73" i="4" s="1"/>
  <c r="G12" i="3"/>
  <c r="G11" i="3"/>
  <c r="L109" i="1"/>
  <c r="O109" i="1" s="1"/>
  <c r="E60" i="2"/>
  <c r="H60" i="2" s="1"/>
  <c r="E30" i="2"/>
  <c r="H30" i="2" s="1"/>
  <c r="D22" i="13"/>
  <c r="G22" i="13" s="1"/>
  <c r="D26" i="10"/>
  <c r="M24" i="2"/>
  <c r="P24" i="2" s="1"/>
  <c r="E53" i="16"/>
  <c r="P116" i="1" l="1"/>
  <c r="O116" i="1"/>
  <c r="M129" i="1"/>
  <c r="E64" i="6"/>
  <c r="H64" i="6" s="1"/>
  <c r="P19" i="4"/>
  <c r="O91" i="1"/>
  <c r="O95" i="1"/>
  <c r="O94" i="1"/>
  <c r="O97" i="1"/>
  <c r="O92" i="1"/>
  <c r="O99" i="1"/>
  <c r="O106" i="1"/>
  <c r="O107" i="1"/>
  <c r="G26" i="10"/>
  <c r="O103" i="1"/>
  <c r="O105" i="1"/>
  <c r="O96" i="1"/>
  <c r="O93" i="1"/>
  <c r="G16" i="15"/>
  <c r="H53" i="16"/>
  <c r="M30" i="4"/>
  <c r="L110" i="1"/>
  <c r="M42" i="2"/>
  <c r="P42" i="2" s="1"/>
  <c r="P129" i="1" l="1"/>
  <c r="O129" i="1"/>
  <c r="P30" i="4"/>
  <c r="O110" i="1"/>
  <c r="E14" i="20" l="1"/>
  <c r="G27" i="3"/>
  <c r="D82" i="3"/>
  <c r="G82" i="3" s="1"/>
  <c r="H14" i="20" l="1"/>
</calcChain>
</file>

<file path=xl/sharedStrings.xml><?xml version="1.0" encoding="utf-8"?>
<sst xmlns="http://schemas.openxmlformats.org/spreadsheetml/2006/main" count="1659" uniqueCount="978">
  <si>
    <t>General (100) Fund Revenues</t>
  </si>
  <si>
    <t>Actual</t>
  </si>
  <si>
    <t>Proposed</t>
  </si>
  <si>
    <t>% Change</t>
  </si>
  <si>
    <t>41110-000</t>
  </si>
  <si>
    <t>General Property Taxes</t>
  </si>
  <si>
    <t>Prop. Tax Alloc. To Debt Service</t>
  </si>
  <si>
    <t>Totals</t>
  </si>
  <si>
    <t>Other Tax Revenue</t>
  </si>
  <si>
    <t xml:space="preserve">Proposed </t>
  </si>
  <si>
    <t>41300-000</t>
  </si>
  <si>
    <t>Pymts in Lieu of Taxes</t>
  </si>
  <si>
    <t>41140-000</t>
  </si>
  <si>
    <t>Mobile Home Taxes</t>
  </si>
  <si>
    <t>41310-000</t>
  </si>
  <si>
    <t>Taxes-Regulated Utility</t>
  </si>
  <si>
    <t>41400-000</t>
  </si>
  <si>
    <t>Motel Room Tax</t>
  </si>
  <si>
    <t>41640-000</t>
  </si>
  <si>
    <t>NSF Service Charge</t>
  </si>
  <si>
    <t>Special Assessment Revenue</t>
  </si>
  <si>
    <t>42100-000</t>
  </si>
  <si>
    <t>Assm't Rev. Staffenson</t>
  </si>
  <si>
    <t>42200-000</t>
  </si>
  <si>
    <t>Assm't Rev. Curb and Gutter</t>
  </si>
  <si>
    <t>42450-000</t>
  </si>
  <si>
    <t>Assm't Rev Birch St</t>
  </si>
  <si>
    <t>Intergovernmental Revenue</t>
  </si>
  <si>
    <t>43410-000</t>
  </si>
  <si>
    <t>43411-000</t>
  </si>
  <si>
    <t>43412-000</t>
  </si>
  <si>
    <t>43413-000</t>
  </si>
  <si>
    <t>43420-000</t>
  </si>
  <si>
    <t>43520-000</t>
  </si>
  <si>
    <t>43522-000</t>
  </si>
  <si>
    <t>43530-000</t>
  </si>
  <si>
    <t>43540-000</t>
  </si>
  <si>
    <t>47451-000</t>
  </si>
  <si>
    <t>Shared Revenues</t>
  </si>
  <si>
    <t>Expenditure Restraint Program</t>
  </si>
  <si>
    <t>Exempt Computers-State Aid</t>
  </si>
  <si>
    <t>Chargeback of Rescinded Taxes</t>
  </si>
  <si>
    <t>Fire Insurance 2% Dues</t>
  </si>
  <si>
    <t>Police Training Grants</t>
  </si>
  <si>
    <t>State Aid-Ambulance</t>
  </si>
  <si>
    <t>Local Transporation Aid</t>
  </si>
  <si>
    <t>Tank Inspections</t>
  </si>
  <si>
    <t>Admin Expense TID #5 Transfers From</t>
  </si>
  <si>
    <t>License and Permit Revenues</t>
  </si>
  <si>
    <t>44110-000</t>
  </si>
  <si>
    <t>44120-000</t>
  </si>
  <si>
    <t>44130-000</t>
  </si>
  <si>
    <t>44140-000</t>
  </si>
  <si>
    <t>44150-000</t>
  </si>
  <si>
    <t>44160-000</t>
  </si>
  <si>
    <t>44180-100</t>
  </si>
  <si>
    <t>44300-000</t>
  </si>
  <si>
    <t>44300-100</t>
  </si>
  <si>
    <t>44400-000</t>
  </si>
  <si>
    <t>44500-000</t>
  </si>
  <si>
    <t>44600-000</t>
  </si>
  <si>
    <t>44650-000</t>
  </si>
  <si>
    <t>44700-000</t>
  </si>
  <si>
    <t>46490-000</t>
  </si>
  <si>
    <t>Liquor and Malt Beverage</t>
  </si>
  <si>
    <t>Operators License</t>
  </si>
  <si>
    <t>Cigarette Licenses</t>
  </si>
  <si>
    <t>Mobile Home Park Licenses</t>
  </si>
  <si>
    <t>Bicycle License</t>
  </si>
  <si>
    <t>Cable Franchise</t>
  </si>
  <si>
    <t>Dog Licenses-City Portion</t>
  </si>
  <si>
    <t>Building Permits-Residential</t>
  </si>
  <si>
    <t>Building Permits-Commercial</t>
  </si>
  <si>
    <t>Zoning Fees</t>
  </si>
  <si>
    <t>Garage Sale Revenue</t>
  </si>
  <si>
    <t>Park Permits</t>
  </si>
  <si>
    <t>Campground Fees</t>
  </si>
  <si>
    <t>Rental Licenses</t>
  </si>
  <si>
    <t>Dumpster Permit Fees</t>
  </si>
  <si>
    <t>Fines, Forfeits, &amp; Penalties Revenue</t>
  </si>
  <si>
    <t>45100-000</t>
  </si>
  <si>
    <t>45110-000</t>
  </si>
  <si>
    <t>45120-000</t>
  </si>
  <si>
    <t>45121-000</t>
  </si>
  <si>
    <t>45130-000</t>
  </si>
  <si>
    <t>Law &amp; Ordinance Violations</t>
  </si>
  <si>
    <t>Court Penalties and Costs</t>
  </si>
  <si>
    <t>Municipal Court Revenue</t>
  </si>
  <si>
    <t>Clear Lake &amp; Clayton Revenues</t>
  </si>
  <si>
    <t>Parking Violations</t>
  </si>
  <si>
    <t>Public Charges for Services Revenue</t>
  </si>
  <si>
    <t>46110-000</t>
  </si>
  <si>
    <t>46120-000</t>
  </si>
  <si>
    <t>46140-000</t>
  </si>
  <si>
    <t>46150-000</t>
  </si>
  <si>
    <t>46220-000</t>
  </si>
  <si>
    <t>46230-000</t>
  </si>
  <si>
    <t>46240-000</t>
  </si>
  <si>
    <t>46250-000</t>
  </si>
  <si>
    <t>46260-000</t>
  </si>
  <si>
    <t>46270-000</t>
  </si>
  <si>
    <t>46310-000</t>
  </si>
  <si>
    <t>46311-000</t>
  </si>
  <si>
    <t>46320-000</t>
  </si>
  <si>
    <t>46340-000</t>
  </si>
  <si>
    <t>46341-000</t>
  </si>
  <si>
    <t>46410-000</t>
  </si>
  <si>
    <t>46421-000</t>
  </si>
  <si>
    <t>46422-000</t>
  </si>
  <si>
    <t>46424-000</t>
  </si>
  <si>
    <t>46440-000</t>
  </si>
  <si>
    <t>46800-000</t>
  </si>
  <si>
    <t>License Publication Fees</t>
  </si>
  <si>
    <t>Sale of Material &amp; Supplies</t>
  </si>
  <si>
    <t>Special Assm't Report Fees</t>
  </si>
  <si>
    <t>Advertising Revenue</t>
  </si>
  <si>
    <t>Fire Dept Revenues</t>
  </si>
  <si>
    <t>License Plate Division</t>
  </si>
  <si>
    <t>Police Dept. Counter Fees</t>
  </si>
  <si>
    <t>Police Dept. Paper Services</t>
  </si>
  <si>
    <t>Police Dept. Worthless Checks</t>
  </si>
  <si>
    <t>Public Works Other Revenue</t>
  </si>
  <si>
    <t>Sidewalk/Curb &amp; Gutter Maint.</t>
  </si>
  <si>
    <t>Private Parking Lot Maint.</t>
  </si>
  <si>
    <t>Airport Revenues</t>
  </si>
  <si>
    <t>Airport Fuel Sales</t>
  </si>
  <si>
    <t>Property Cleanup, Mowing, Etc.</t>
  </si>
  <si>
    <t>Refuse Penalties</t>
  </si>
  <si>
    <t>Landfill Fee</t>
  </si>
  <si>
    <t>Garbage Administrative Fee</t>
  </si>
  <si>
    <t>Weed &amp; Nuisance Control</t>
  </si>
  <si>
    <t>Police Dept. Report Requests</t>
  </si>
  <si>
    <t>City Crew Work Hours</t>
  </si>
  <si>
    <t>Intergovernmental Charges for Service Revenue</t>
  </si>
  <si>
    <t>47320-000</t>
  </si>
  <si>
    <t>47321-000</t>
  </si>
  <si>
    <t>47322-000</t>
  </si>
  <si>
    <t>47400-000</t>
  </si>
  <si>
    <t>47410-000</t>
  </si>
  <si>
    <t>Public Safety/Dam Maint. (Lincoln)</t>
  </si>
  <si>
    <t>Fire Protection Services</t>
  </si>
  <si>
    <t>Loan Truck (Alden, Lincoln, Blackbrook)</t>
  </si>
  <si>
    <t>Utility Office Rent</t>
  </si>
  <si>
    <t>Utility Equipment Rental</t>
  </si>
  <si>
    <t>Misc. Revenue</t>
  </si>
  <si>
    <t>48110-000</t>
  </si>
  <si>
    <t>48111-000</t>
  </si>
  <si>
    <t>48130-000</t>
  </si>
  <si>
    <t>48200-000</t>
  </si>
  <si>
    <t>48300-000</t>
  </si>
  <si>
    <t>48450-000</t>
  </si>
  <si>
    <t>48500-000</t>
  </si>
  <si>
    <t>48990-000</t>
  </si>
  <si>
    <t>49210-000</t>
  </si>
  <si>
    <t>49222-000</t>
  </si>
  <si>
    <t>49223-000</t>
  </si>
  <si>
    <t>49225-000</t>
  </si>
  <si>
    <t>49226-000</t>
  </si>
  <si>
    <t>49228-000</t>
  </si>
  <si>
    <t>49229-000</t>
  </si>
  <si>
    <t>49230-000</t>
  </si>
  <si>
    <t>Interest on Investments</t>
  </si>
  <si>
    <t>Interest on Checking/Savings Acct.</t>
  </si>
  <si>
    <t>Interest-Special Investments</t>
  </si>
  <si>
    <t>Rent of Cit Buildings-Fire Hall</t>
  </si>
  <si>
    <t>Sale of City Property</t>
  </si>
  <si>
    <t>Cell Tower Leases</t>
  </si>
  <si>
    <t>Prior Year's Recovery</t>
  </si>
  <si>
    <t>Transfer in from Library Fund</t>
  </si>
  <si>
    <t>Community Club Reimbursements</t>
  </si>
  <si>
    <t>Hockey Assoc. Reimbursements</t>
  </si>
  <si>
    <t>Community Foundation MA</t>
  </si>
  <si>
    <t>AEDC MA Reimbursements</t>
  </si>
  <si>
    <t>AEDC/Community Club Web Reim.</t>
  </si>
  <si>
    <t>Reimbursement Amery Lake Dist.</t>
  </si>
  <si>
    <t>Golf Course Debt Reimbursement</t>
  </si>
  <si>
    <t>Library (250) Fund Revenue</t>
  </si>
  <si>
    <t>43501-000</t>
  </si>
  <si>
    <t>48910-000</t>
  </si>
  <si>
    <t>Property Tax Appropriations</t>
  </si>
  <si>
    <t>Act 150 (250)</t>
  </si>
  <si>
    <t>Library Fines (250)</t>
  </si>
  <si>
    <t>Transfer from Library Fund Balance</t>
  </si>
  <si>
    <t>TID #6 (410) Fund Revenue</t>
  </si>
  <si>
    <t>41120-000</t>
  </si>
  <si>
    <t>49200-000</t>
  </si>
  <si>
    <t>Tax Increments</t>
  </si>
  <si>
    <t>Transfer in from TID #5</t>
  </si>
  <si>
    <t>Transfer in from TID #&amp;</t>
  </si>
  <si>
    <t>TID #7 (420) Fund Revenue</t>
  </si>
  <si>
    <t>TID #8 (485) Fund Revenue</t>
  </si>
  <si>
    <t>Transfer from TID #7</t>
  </si>
  <si>
    <t>Capital Projects (570) Fund Revenue</t>
  </si>
  <si>
    <t>55110-810</t>
  </si>
  <si>
    <t>41100-000</t>
  </si>
  <si>
    <t>48700-000</t>
  </si>
  <si>
    <t>46710-000</t>
  </si>
  <si>
    <t>48630-000</t>
  </si>
  <si>
    <t>46720-000</t>
  </si>
  <si>
    <t>Library Fines CIP</t>
  </si>
  <si>
    <t>Revenue from General Fund</t>
  </si>
  <si>
    <t>Revenue from Utilities</t>
  </si>
  <si>
    <t>Towns Share of Rescue Airboat</t>
  </si>
  <si>
    <t>Carryover from 2018</t>
  </si>
  <si>
    <t>DNR Forest Fire Protection Prog.</t>
  </si>
  <si>
    <t>Water (610) Fund Revenue</t>
  </si>
  <si>
    <t>46450-460</t>
  </si>
  <si>
    <t>46450-461</t>
  </si>
  <si>
    <t>46450-462</t>
  </si>
  <si>
    <t>46450-463</t>
  </si>
  <si>
    <t>46450-464</t>
  </si>
  <si>
    <t>46450-465</t>
  </si>
  <si>
    <t>46450-470</t>
  </si>
  <si>
    <t>46450-419</t>
  </si>
  <si>
    <t>46460-000</t>
  </si>
  <si>
    <t>48300-425</t>
  </si>
  <si>
    <t>Water-Residential Revenue</t>
  </si>
  <si>
    <t>Water-Commercial Revenue</t>
  </si>
  <si>
    <t>Water-Private Fire Protection</t>
  </si>
  <si>
    <t>Water-Public Fire Protection</t>
  </si>
  <si>
    <t>Water-Public Authority Revenue</t>
  </si>
  <si>
    <t>Water-Industrial Revenue</t>
  </si>
  <si>
    <t>Water-Penalties</t>
  </si>
  <si>
    <t>Lincoln St. East Special Assm'ts</t>
  </si>
  <si>
    <t>Amortization/Regulatory Liability</t>
  </si>
  <si>
    <t>Sewer (620) Fund Revenue</t>
  </si>
  <si>
    <t>46460-619</t>
  </si>
  <si>
    <t>46460-621</t>
  </si>
  <si>
    <t>46460-622</t>
  </si>
  <si>
    <t>46460-623</t>
  </si>
  <si>
    <t>46460-624</t>
  </si>
  <si>
    <t>46460-631</t>
  </si>
  <si>
    <t>46460-635</t>
  </si>
  <si>
    <t>48110-419</t>
  </si>
  <si>
    <t>12670-124</t>
  </si>
  <si>
    <t>General Fund</t>
  </si>
  <si>
    <t>Other Taxes</t>
  </si>
  <si>
    <t>Special Assessments</t>
  </si>
  <si>
    <t>Intergovernmental Revenues</t>
  </si>
  <si>
    <t>Intergovernmental Charges for Service</t>
  </si>
  <si>
    <t>License and Permits</t>
  </si>
  <si>
    <t>Fines, Forfeits, and Penalties</t>
  </si>
  <si>
    <t>Miscellaneous</t>
  </si>
  <si>
    <t>Other Financing</t>
  </si>
  <si>
    <t>(610) Water</t>
  </si>
  <si>
    <t>(620) Sewer</t>
  </si>
  <si>
    <t>(250) Library</t>
  </si>
  <si>
    <t>(450) TID #5</t>
  </si>
  <si>
    <t>(410) TID #6</t>
  </si>
  <si>
    <t>(420) TID #7</t>
  </si>
  <si>
    <t xml:space="preserve">(480) TID #8 </t>
  </si>
  <si>
    <t>(570) Capital Projects</t>
  </si>
  <si>
    <t>Public Charges for Services</t>
  </si>
  <si>
    <t>All Funds Budget Request Summary</t>
  </si>
  <si>
    <t>(100) General Government</t>
  </si>
  <si>
    <t>Public Safety</t>
  </si>
  <si>
    <t>Public Works</t>
  </si>
  <si>
    <t>Health and Human Services</t>
  </si>
  <si>
    <t>Culture, Recreation, and Education</t>
  </si>
  <si>
    <t>(350) Debt Service</t>
  </si>
  <si>
    <t>(485) TID #8</t>
  </si>
  <si>
    <t>City Council</t>
  </si>
  <si>
    <t>51110-110</t>
  </si>
  <si>
    <t>51110-131</t>
  </si>
  <si>
    <t>51420-132</t>
  </si>
  <si>
    <t>51110-320</t>
  </si>
  <si>
    <t>51110-330</t>
  </si>
  <si>
    <t>51110-341</t>
  </si>
  <si>
    <t>51120-810</t>
  </si>
  <si>
    <t>City Council Salaries</t>
  </si>
  <si>
    <t>City Council Benefit Social Sec.</t>
  </si>
  <si>
    <t>City Council Medicare</t>
  </si>
  <si>
    <t>City Council Publications/Dues</t>
  </si>
  <si>
    <t>City Council Travel</t>
  </si>
  <si>
    <t>City Council Op. Supp. &amp; Exp.</t>
  </si>
  <si>
    <t>I-Pad Replacement</t>
  </si>
  <si>
    <t>Municipal Court</t>
  </si>
  <si>
    <t>51200-110</t>
  </si>
  <si>
    <t>51200-130</t>
  </si>
  <si>
    <t>51200-131</t>
  </si>
  <si>
    <t>51200-132</t>
  </si>
  <si>
    <t>51200-133</t>
  </si>
  <si>
    <t>51200-320</t>
  </si>
  <si>
    <t>51200-330</t>
  </si>
  <si>
    <t>51200-340</t>
  </si>
  <si>
    <t>51200-810</t>
  </si>
  <si>
    <t>Municipal Court Salaries</t>
  </si>
  <si>
    <t>Court Employee Benefits</t>
  </si>
  <si>
    <t>Court Employee Medicare</t>
  </si>
  <si>
    <t>Court Employee Retirement</t>
  </si>
  <si>
    <t>Court Publications/Dues</t>
  </si>
  <si>
    <t>Court Travel</t>
  </si>
  <si>
    <t>Court Op., Supp. &amp; Expenses</t>
  </si>
  <si>
    <t>Court Software</t>
  </si>
  <si>
    <t>City Attorney</t>
  </si>
  <si>
    <t>51310-210</t>
  </si>
  <si>
    <t>City Attorney Prof. Services</t>
  </si>
  <si>
    <t>Prosecution Fees</t>
  </si>
  <si>
    <t>Mayor</t>
  </si>
  <si>
    <t>51410-110</t>
  </si>
  <si>
    <t>51410-131</t>
  </si>
  <si>
    <t>51410-132</t>
  </si>
  <si>
    <t>51410-310</t>
  </si>
  <si>
    <t>51410-320</t>
  </si>
  <si>
    <t>51410-330</t>
  </si>
  <si>
    <t>Salaries</t>
  </si>
  <si>
    <t>Benefits FICA</t>
  </si>
  <si>
    <t>Benefits Medicare</t>
  </si>
  <si>
    <t>Office Supplies</t>
  </si>
  <si>
    <t>Publications/Dues</t>
  </si>
  <si>
    <t>Travel/Education</t>
  </si>
  <si>
    <t>Clerk-Treasurer</t>
  </si>
  <si>
    <t>51420-110</t>
  </si>
  <si>
    <t>51420-130</t>
  </si>
  <si>
    <t>51420-131</t>
  </si>
  <si>
    <t>51420-133</t>
  </si>
  <si>
    <t>51420-310</t>
  </si>
  <si>
    <t>51420-320</t>
  </si>
  <si>
    <t>51420-330</t>
  </si>
  <si>
    <t>51420-340</t>
  </si>
  <si>
    <t>51430-340</t>
  </si>
  <si>
    <t>Employee Benefits</t>
  </si>
  <si>
    <t>Benefits Retirement</t>
  </si>
  <si>
    <t>Op. Supp. &amp; Expenses</t>
  </si>
  <si>
    <t>Operation Suppl., &amp; Expenses</t>
  </si>
  <si>
    <t>Elections</t>
  </si>
  <si>
    <t>51440-110</t>
  </si>
  <si>
    <t>51440-130</t>
  </si>
  <si>
    <t>51440-131</t>
  </si>
  <si>
    <t>51440-132</t>
  </si>
  <si>
    <t>51440-133</t>
  </si>
  <si>
    <t>51440-210</t>
  </si>
  <si>
    <t>51440-310</t>
  </si>
  <si>
    <t>51440-320</t>
  </si>
  <si>
    <t>51440-330</t>
  </si>
  <si>
    <t>51440-340</t>
  </si>
  <si>
    <t>Professional Services</t>
  </si>
  <si>
    <t>Travel and Education</t>
  </si>
  <si>
    <t>Operating Supplies and Exp.</t>
  </si>
  <si>
    <t>Special Accounting and Audit</t>
  </si>
  <si>
    <t>51510-210</t>
  </si>
  <si>
    <t>Professional Service</t>
  </si>
  <si>
    <t>Property Assessment</t>
  </si>
  <si>
    <t>51530-210</t>
  </si>
  <si>
    <t>51530-310</t>
  </si>
  <si>
    <t>51530-320</t>
  </si>
  <si>
    <t>Assm't of Property Pro. Serv.</t>
  </si>
  <si>
    <t>Assm't of Property Office Supp.</t>
  </si>
  <si>
    <t>Assm't of Prop. Pubs./Dues</t>
  </si>
  <si>
    <t>Insurance</t>
  </si>
  <si>
    <t>51540-000</t>
  </si>
  <si>
    <t>51550-000</t>
  </si>
  <si>
    <t>Insurance: Pro, Liab, WC</t>
  </si>
  <si>
    <t>Unemployment Compensation</t>
  </si>
  <si>
    <t>City Hall</t>
  </si>
  <si>
    <t>51600-220</t>
  </si>
  <si>
    <t>51600-221</t>
  </si>
  <si>
    <t>51600-222</t>
  </si>
  <si>
    <t>51600-340</t>
  </si>
  <si>
    <t>51600-350</t>
  </si>
  <si>
    <t>51600-810</t>
  </si>
  <si>
    <t>51940-000</t>
  </si>
  <si>
    <t>51960-000</t>
  </si>
  <si>
    <t>51955-000</t>
  </si>
  <si>
    <t>Utilities Expenses</t>
  </si>
  <si>
    <t>Water&amp;Sewer</t>
  </si>
  <si>
    <t>Telephone</t>
  </si>
  <si>
    <t>Operating Supp.&amp;Expen.</t>
  </si>
  <si>
    <t>Repair and Maintenance</t>
  </si>
  <si>
    <t>Computer</t>
  </si>
  <si>
    <t>Employee Script</t>
  </si>
  <si>
    <t>Wellness Program</t>
  </si>
  <si>
    <t>IT Professional Services</t>
  </si>
  <si>
    <t>General Government Totals</t>
  </si>
  <si>
    <t>52100-110</t>
  </si>
  <si>
    <t>52100-130</t>
  </si>
  <si>
    <t>52100-131</t>
  </si>
  <si>
    <t>52100-132</t>
  </si>
  <si>
    <t>52100-133</t>
  </si>
  <si>
    <t>52100-210</t>
  </si>
  <si>
    <t>52100-310</t>
  </si>
  <si>
    <t>52100-320</t>
  </si>
  <si>
    <t>52100-330</t>
  </si>
  <si>
    <t>52100-340</t>
  </si>
  <si>
    <t>52100-355</t>
  </si>
  <si>
    <t>52100-360</t>
  </si>
  <si>
    <t>52100-390</t>
  </si>
  <si>
    <t>52100-810</t>
  </si>
  <si>
    <t>Police</t>
  </si>
  <si>
    <t>Op. Supplies and Expenses</t>
  </si>
  <si>
    <t>Bldg. Repair and Maint.</t>
  </si>
  <si>
    <t>Vehicle Operations &amp; Gas</t>
  </si>
  <si>
    <t>Vehicle Maintenance</t>
  </si>
  <si>
    <t>Uniforms</t>
  </si>
  <si>
    <t>Capital Equipment</t>
  </si>
  <si>
    <t>Fire Department</t>
  </si>
  <si>
    <t>52210-110</t>
  </si>
  <si>
    <t>52210-130</t>
  </si>
  <si>
    <t>52210-131</t>
  </si>
  <si>
    <t>52210-132</t>
  </si>
  <si>
    <t>52210-210</t>
  </si>
  <si>
    <t>52210-220</t>
  </si>
  <si>
    <t>52210-221</t>
  </si>
  <si>
    <t>52210-222</t>
  </si>
  <si>
    <t>52210-223</t>
  </si>
  <si>
    <t>52210-310</t>
  </si>
  <si>
    <t>52210-320</t>
  </si>
  <si>
    <t>52210-330</t>
  </si>
  <si>
    <t>52210-335</t>
  </si>
  <si>
    <t>52210-340</t>
  </si>
  <si>
    <t>52210-345</t>
  </si>
  <si>
    <t>52210-350</t>
  </si>
  <si>
    <t>52210-355</t>
  </si>
  <si>
    <t>52210-360</t>
  </si>
  <si>
    <t>52210-390</t>
  </si>
  <si>
    <t>52210-395</t>
  </si>
  <si>
    <t>52215-000</t>
  </si>
  <si>
    <t>52210-810</t>
  </si>
  <si>
    <t>Electricity</t>
  </si>
  <si>
    <t>Water &amp; Sewer</t>
  </si>
  <si>
    <t>Phone-Internet</t>
  </si>
  <si>
    <t>Heat (Gas)</t>
  </si>
  <si>
    <t>Fire Prevention</t>
  </si>
  <si>
    <t>Fire Fighting Equipment</t>
  </si>
  <si>
    <t>Equipment Maint and Repair</t>
  </si>
  <si>
    <t>Vehicle Operations and Maint.</t>
  </si>
  <si>
    <t>Clothing</t>
  </si>
  <si>
    <t>EMS Supplies</t>
  </si>
  <si>
    <t>Retirement</t>
  </si>
  <si>
    <t>Bldg. Maint. &amp; Repair</t>
  </si>
  <si>
    <t>Ambulance</t>
  </si>
  <si>
    <t>52300-000</t>
  </si>
  <si>
    <t>Building Inspections</t>
  </si>
  <si>
    <t>52400-210</t>
  </si>
  <si>
    <t>52421-100</t>
  </si>
  <si>
    <t>Residential Pro. Service</t>
  </si>
  <si>
    <t>Commerical Pro. Service</t>
  </si>
  <si>
    <t>Apple River Dam</t>
  </si>
  <si>
    <t>52500-350</t>
  </si>
  <si>
    <t>52600-220</t>
  </si>
  <si>
    <t>Maint. &amp; Repairs</t>
  </si>
  <si>
    <t>Civil Defense Expenses/Elect.</t>
  </si>
  <si>
    <t>Public Safety Totals</t>
  </si>
  <si>
    <t>Health and Safety</t>
  </si>
  <si>
    <t>53405-330</t>
  </si>
  <si>
    <t>53405-340</t>
  </si>
  <si>
    <t>53405-390</t>
  </si>
  <si>
    <t>Travel</t>
  </si>
  <si>
    <t>Operating Supp.&amp; Expenses</t>
  </si>
  <si>
    <t>53410-110</t>
  </si>
  <si>
    <t>53410-130</t>
  </si>
  <si>
    <t>53410-131</t>
  </si>
  <si>
    <t>53410-132</t>
  </si>
  <si>
    <t>53410-133</t>
  </si>
  <si>
    <t>53410-330</t>
  </si>
  <si>
    <t>53411-340</t>
  </si>
  <si>
    <t>53411-350</t>
  </si>
  <si>
    <t>53411-360</t>
  </si>
  <si>
    <t>53412-220</t>
  </si>
  <si>
    <t>53412-221</t>
  </si>
  <si>
    <t>53412-340</t>
  </si>
  <si>
    <t>53412-350</t>
  </si>
  <si>
    <t>Payroll/Salaries</t>
  </si>
  <si>
    <t>Travel/Training</t>
  </si>
  <si>
    <t>Equipment Op. Cost &amp; Supp/Exp.</t>
  </si>
  <si>
    <t>Equip. Op. Cost &amp; Repair/Maint.</t>
  </si>
  <si>
    <t>Vehicle Cost Op. and Maint.</t>
  </si>
  <si>
    <t>Water and Sewer</t>
  </si>
  <si>
    <t>Garages/Sheds Op. Supp. Exp.</t>
  </si>
  <si>
    <t>Garages/Sheds Repair/Maint.</t>
  </si>
  <si>
    <t>Streets/Alleys/Bridges/Culverts</t>
  </si>
  <si>
    <t>53413-110</t>
  </si>
  <si>
    <t>53413-130</t>
  </si>
  <si>
    <t>53413-131</t>
  </si>
  <si>
    <t>53413-132</t>
  </si>
  <si>
    <t>53413-133</t>
  </si>
  <si>
    <t>53413-310</t>
  </si>
  <si>
    <t>53413-340</t>
  </si>
  <si>
    <t>53413-350</t>
  </si>
  <si>
    <t>53414-210</t>
  </si>
  <si>
    <t>53414-340</t>
  </si>
  <si>
    <t>53415-220</t>
  </si>
  <si>
    <t>53415-380</t>
  </si>
  <si>
    <t>53415-350</t>
  </si>
  <si>
    <t>53416-210</t>
  </si>
  <si>
    <t>53416-350</t>
  </si>
  <si>
    <t>53420-220</t>
  </si>
  <si>
    <t>53420-350</t>
  </si>
  <si>
    <t>Maint. Wages</t>
  </si>
  <si>
    <t>Benefits</t>
  </si>
  <si>
    <t>S.S.</t>
  </si>
  <si>
    <t>Medicare</t>
  </si>
  <si>
    <t>Annual Paving/Resurfacing</t>
  </si>
  <si>
    <t>Snow and Ice Prof. Services</t>
  </si>
  <si>
    <t>Snow and Ice Op. Supp. And Exp.</t>
  </si>
  <si>
    <t>Traffic Signs Electricity</t>
  </si>
  <si>
    <t>Rent of Bldgs and Land</t>
  </si>
  <si>
    <t>Signs and Markings Repair</t>
  </si>
  <si>
    <t>Maint. Bridges Prof. Services</t>
  </si>
  <si>
    <t>Bridges Repair and Maint.</t>
  </si>
  <si>
    <t>Street Lighting Electricity</t>
  </si>
  <si>
    <t>Lighting Repair and Maint.</t>
  </si>
  <si>
    <t>Storm Sewer</t>
  </si>
  <si>
    <t>53440-340</t>
  </si>
  <si>
    <t>53440-350</t>
  </si>
  <si>
    <t>Sewer Op. Supp. &amp; Expenses</t>
  </si>
  <si>
    <t>Sewer Repair and Maint.</t>
  </si>
  <si>
    <t>Airport</t>
  </si>
  <si>
    <t>53510-110</t>
  </si>
  <si>
    <t>53510-131</t>
  </si>
  <si>
    <t>53510-132</t>
  </si>
  <si>
    <t>53510-133</t>
  </si>
  <si>
    <t>53510-210</t>
  </si>
  <si>
    <t>53510-220</t>
  </si>
  <si>
    <t>53510-310</t>
  </si>
  <si>
    <t>53510-320</t>
  </si>
  <si>
    <t>53510-330</t>
  </si>
  <si>
    <t>53510-340</t>
  </si>
  <si>
    <t>53510-350</t>
  </si>
  <si>
    <t>53510-360</t>
  </si>
  <si>
    <t>53510-820</t>
  </si>
  <si>
    <t>Operating Supplies/Expenses</t>
  </si>
  <si>
    <t>Capital outlays</t>
  </si>
  <si>
    <t>Landfill</t>
  </si>
  <si>
    <t>53630-220</t>
  </si>
  <si>
    <t>53630-340</t>
  </si>
  <si>
    <t>Operating Supp. &amp; Expenses</t>
  </si>
  <si>
    <t>Contamination-Prof. Services</t>
  </si>
  <si>
    <t>Cemetery</t>
  </si>
  <si>
    <t>Senior Citizen's Center</t>
  </si>
  <si>
    <t>55140-220</t>
  </si>
  <si>
    <t>55140-221</t>
  </si>
  <si>
    <t>55140-340</t>
  </si>
  <si>
    <t>55140-350</t>
  </si>
  <si>
    <t>Operations</t>
  </si>
  <si>
    <t>Repairs and Maintenance</t>
  </si>
  <si>
    <t>Parks, Promotions, Recreations</t>
  </si>
  <si>
    <t>55200-110</t>
  </si>
  <si>
    <t>55200-130</t>
  </si>
  <si>
    <t>55200-131</t>
  </si>
  <si>
    <t>55200-132</t>
  </si>
  <si>
    <t>55200-133</t>
  </si>
  <si>
    <t>55200-220</t>
  </si>
  <si>
    <t>55200-221</t>
  </si>
  <si>
    <t>55200-320</t>
  </si>
  <si>
    <t>55200-340</t>
  </si>
  <si>
    <t>55214-000</t>
  </si>
  <si>
    <t>55200-350</t>
  </si>
  <si>
    <t>55300-220</t>
  </si>
  <si>
    <t>55300-320</t>
  </si>
  <si>
    <t>55300-340</t>
  </si>
  <si>
    <t>Supplies &amp; Expenses</t>
  </si>
  <si>
    <t>Goose Control</t>
  </si>
  <si>
    <t>Celebrations-Electricity</t>
  </si>
  <si>
    <t>Celebrations-Publications/Dues</t>
  </si>
  <si>
    <t>Celebrations-Supp. &amp; Exp.</t>
  </si>
  <si>
    <t>55450-220</t>
  </si>
  <si>
    <t>55470-210</t>
  </si>
  <si>
    <t>55470-340</t>
  </si>
  <si>
    <t>56720-220</t>
  </si>
  <si>
    <t>56720-320</t>
  </si>
  <si>
    <t>56720-330</t>
  </si>
  <si>
    <t>56720-340</t>
  </si>
  <si>
    <t>55200-210</t>
  </si>
  <si>
    <t>56720-345</t>
  </si>
  <si>
    <t>Skating Rink-Electricity</t>
  </si>
  <si>
    <t>Video Recording-Prof. Serv.</t>
  </si>
  <si>
    <t>Video Recording-Supp. &amp; Exp.</t>
  </si>
  <si>
    <t>Advertising-Electricity</t>
  </si>
  <si>
    <t>Advertising-Pub. &amp; Dues</t>
  </si>
  <si>
    <t>Advertising-Travel</t>
  </si>
  <si>
    <t>Advertising-Supp. &amp; Exp.</t>
  </si>
  <si>
    <t>Advertising-Prof. Services</t>
  </si>
  <si>
    <t>Advertising-Website</t>
  </si>
  <si>
    <t>Culture, Recreation, and Education Totals</t>
  </si>
  <si>
    <t>Planning/Zoning</t>
  </si>
  <si>
    <t>56300-320</t>
  </si>
  <si>
    <t>56500-210</t>
  </si>
  <si>
    <t>56500-200</t>
  </si>
  <si>
    <t>Planning Comm. Pubs/Dues</t>
  </si>
  <si>
    <t>City Planner-Prof. Services</t>
  </si>
  <si>
    <t>Eco. Dev. New Industrial Park</t>
  </si>
  <si>
    <t>Employee Retirement Exp.</t>
  </si>
  <si>
    <t>Debt Service</t>
  </si>
  <si>
    <t>58100-000</t>
  </si>
  <si>
    <t>58200-000</t>
  </si>
  <si>
    <t>58103-000</t>
  </si>
  <si>
    <t>58104-000</t>
  </si>
  <si>
    <t>58105-000</t>
  </si>
  <si>
    <t>58250-000</t>
  </si>
  <si>
    <t>Principal Payments</t>
  </si>
  <si>
    <t>Interest &amp; Paying Agent Charge</t>
  </si>
  <si>
    <t>Motor Grader Principal Paymt.</t>
  </si>
  <si>
    <t>Caterpiller Loader Lease Paymt.</t>
  </si>
  <si>
    <t>John Deere Mower Lease</t>
  </si>
  <si>
    <t>Golf Course Debt Payment</t>
  </si>
  <si>
    <t>Debt Service Budget Total</t>
  </si>
  <si>
    <t>Capital Projects</t>
  </si>
  <si>
    <t>53415-000</t>
  </si>
  <si>
    <t>53416-500</t>
  </si>
  <si>
    <t>53416-000</t>
  </si>
  <si>
    <t>53416-550</t>
  </si>
  <si>
    <t>53422-000</t>
  </si>
  <si>
    <t>53423-000</t>
  </si>
  <si>
    <t>55201-000</t>
  </si>
  <si>
    <t>55200-000</t>
  </si>
  <si>
    <t>53411-995</t>
  </si>
  <si>
    <t>51300-810</t>
  </si>
  <si>
    <t>51440-000</t>
  </si>
  <si>
    <t>55110-510</t>
  </si>
  <si>
    <t>54910-350</t>
  </si>
  <si>
    <t>Police Capital Equipment</t>
  </si>
  <si>
    <t>Police Vehicle Purchase</t>
  </si>
  <si>
    <t>Fire Dept. Capital Equipment</t>
  </si>
  <si>
    <t>Fire Dept. SCBA Cylinder Equip.</t>
  </si>
  <si>
    <t>Bucket Truck</t>
  </si>
  <si>
    <t>Granum Boat Landing</t>
  </si>
  <si>
    <t>North Parks Bathrooms</t>
  </si>
  <si>
    <t>Public Works Capital Equip.</t>
  </si>
  <si>
    <t>Ordinance Codification</t>
  </si>
  <si>
    <t>Election Equip. CIP</t>
  </si>
  <si>
    <t>Library Fines Capital Equip. CIP</t>
  </si>
  <si>
    <t>Cemetery Software</t>
  </si>
  <si>
    <t>Fire Dept. Cap. Equip. Airboat</t>
  </si>
  <si>
    <t>Capital Projects (570) Fund Totals</t>
  </si>
  <si>
    <t>56700-830</t>
  </si>
  <si>
    <t>56700-200</t>
  </si>
  <si>
    <t>56700-210</t>
  </si>
  <si>
    <t>FMH-Unisource Incentive Pymt.</t>
  </si>
  <si>
    <t>TID #6 Fund</t>
  </si>
  <si>
    <t>56600-230</t>
  </si>
  <si>
    <t>56700-230</t>
  </si>
  <si>
    <t>56900-000</t>
  </si>
  <si>
    <t>Chet's Incentive Payment</t>
  </si>
  <si>
    <t>Memory Care Incentive Paymt</t>
  </si>
  <si>
    <t>Center St. West Sewer</t>
  </si>
  <si>
    <t>TID #6 Debt Service</t>
  </si>
  <si>
    <t>Principle Payments</t>
  </si>
  <si>
    <t>Interest and Paying Agent Chg.</t>
  </si>
  <si>
    <t>TID #6 Fund Total</t>
  </si>
  <si>
    <t>TID #7 Fund</t>
  </si>
  <si>
    <t>56700-110</t>
  </si>
  <si>
    <t>56700-130</t>
  </si>
  <si>
    <t>56700-131</t>
  </si>
  <si>
    <t>56700-132</t>
  </si>
  <si>
    <t>56700-133</t>
  </si>
  <si>
    <t>53700-420</t>
  </si>
  <si>
    <t>56700-000</t>
  </si>
  <si>
    <t>56710-300</t>
  </si>
  <si>
    <t>Econ. Dev. Salaries</t>
  </si>
  <si>
    <t>Econ. Dev. Emp. Benefits</t>
  </si>
  <si>
    <t>Benefit Retirement</t>
  </si>
  <si>
    <t>Capital Improvement Admin.</t>
  </si>
  <si>
    <t>Professional Service AEDC</t>
  </si>
  <si>
    <t>Transfer to TID #6</t>
  </si>
  <si>
    <t>Transfer to TID #8</t>
  </si>
  <si>
    <t>TID #7 Fund Totals</t>
  </si>
  <si>
    <t>TID #8 Fund</t>
  </si>
  <si>
    <t>Principal</t>
  </si>
  <si>
    <t>Interest</t>
  </si>
  <si>
    <t>South Industrial Park Dev.</t>
  </si>
  <si>
    <t>TID #8 Fund Totals</t>
  </si>
  <si>
    <t>Water Fund</t>
  </si>
  <si>
    <t>53710-408</t>
  </si>
  <si>
    <t>53711-600</t>
  </si>
  <si>
    <t>53711-605</t>
  </si>
  <si>
    <t>53712-622</t>
  </si>
  <si>
    <t>53712-623</t>
  </si>
  <si>
    <t>53712-625</t>
  </si>
  <si>
    <t>53713-630</t>
  </si>
  <si>
    <t>53713-631</t>
  </si>
  <si>
    <t>53713-632</t>
  </si>
  <si>
    <t>53713-635</t>
  </si>
  <si>
    <t>53714-640</t>
  </si>
  <si>
    <t>53714-641</t>
  </si>
  <si>
    <t>53714-651</t>
  </si>
  <si>
    <t>53714-652</t>
  </si>
  <si>
    <t>53714-653</t>
  </si>
  <si>
    <t>53714-654</t>
  </si>
  <si>
    <t>53714-655</t>
  </si>
  <si>
    <t>53721-901</t>
  </si>
  <si>
    <t>53721-902</t>
  </si>
  <si>
    <t>53722-920</t>
  </si>
  <si>
    <t>53722-921</t>
  </si>
  <si>
    <t>53722-923</t>
  </si>
  <si>
    <t>53722-924</t>
  </si>
  <si>
    <t>53722-926</t>
  </si>
  <si>
    <t>53722-928</t>
  </si>
  <si>
    <t>53722-930</t>
  </si>
  <si>
    <t>53722-933</t>
  </si>
  <si>
    <t>53722-935</t>
  </si>
  <si>
    <t>57000-000</t>
  </si>
  <si>
    <t>53723-000</t>
  </si>
  <si>
    <t>Taxes</t>
  </si>
  <si>
    <t>H2O Supply 600</t>
  </si>
  <si>
    <t xml:space="preserve">H2O Source Plant Maint. </t>
  </si>
  <si>
    <t>Pumping Power Purchased</t>
  </si>
  <si>
    <t>Pumping-Supplies and Maint.</t>
  </si>
  <si>
    <t>Pumping-Maintenance</t>
  </si>
  <si>
    <t>H2O Treatment-Labor</t>
  </si>
  <si>
    <t>H2O Chemicals</t>
  </si>
  <si>
    <t>H2O Treat. Op. Sup. &amp; Exp.</t>
  </si>
  <si>
    <t>H2O Treat. Maint.</t>
  </si>
  <si>
    <t>Operations Labor Trans/Dist. 640</t>
  </si>
  <si>
    <t>Trans. Sup &amp; Exp.</t>
  </si>
  <si>
    <t>Trans. Main Maint.</t>
  </si>
  <si>
    <t>Trans. Service Maint.</t>
  </si>
  <si>
    <t xml:space="preserve">Trans. Meter Maint. </t>
  </si>
  <si>
    <t>Trans. Hydrant Maint.</t>
  </si>
  <si>
    <t>Trans. Other Maint.</t>
  </si>
  <si>
    <t>H2O Meter Read 901</t>
  </si>
  <si>
    <t>H2o Acct. and Coll Labor</t>
  </si>
  <si>
    <t>Gen. Admin Salaries</t>
  </si>
  <si>
    <t>Admin Office Sup. And Exp.</t>
  </si>
  <si>
    <t>Admin Outside Services</t>
  </si>
  <si>
    <t>Admin. Prop Ins</t>
  </si>
  <si>
    <t>Admin. Employee Benefits</t>
  </si>
  <si>
    <t>Admin. Transportation</t>
  </si>
  <si>
    <t>Admin. Reg. Comm. Expenses</t>
  </si>
  <si>
    <t>Admin. Misc Expenses</t>
  </si>
  <si>
    <t>Admin. Maint. Gen. Plant.</t>
  </si>
  <si>
    <t>Capital Equipment CIP</t>
  </si>
  <si>
    <t>53730-000</t>
  </si>
  <si>
    <t>53710-825</t>
  </si>
  <si>
    <t>59100-000</t>
  </si>
  <si>
    <t>53710-824</t>
  </si>
  <si>
    <t>53720-850</t>
  </si>
  <si>
    <t>Water Capital Equip. Fund</t>
  </si>
  <si>
    <t>Website Development</t>
  </si>
  <si>
    <t>Transfer to 570 Fund</t>
  </si>
  <si>
    <t>Employee Travel/Education</t>
  </si>
  <si>
    <t>Water Debt Service</t>
  </si>
  <si>
    <t>58200-427</t>
  </si>
  <si>
    <t>Payments on Long Term Debt</t>
  </si>
  <si>
    <t>Int. and Paying Agent Chg.</t>
  </si>
  <si>
    <t>Water Fund (610) Fund Totals</t>
  </si>
  <si>
    <t>Sewer Fund</t>
  </si>
  <si>
    <t>53710-820</t>
  </si>
  <si>
    <t>53710-821</t>
  </si>
  <si>
    <t>53710-822</t>
  </si>
  <si>
    <t>53710-823</t>
  </si>
  <si>
    <t>53710-826</t>
  </si>
  <si>
    <t>53710-827</t>
  </si>
  <si>
    <t>53710-828</t>
  </si>
  <si>
    <t>53710-831</t>
  </si>
  <si>
    <t>53710-832</t>
  </si>
  <si>
    <t>53710-833</t>
  </si>
  <si>
    <t>53710-834</t>
  </si>
  <si>
    <t>53710-835</t>
  </si>
  <si>
    <t>53710-844</t>
  </si>
  <si>
    <t>53720-851</t>
  </si>
  <si>
    <t>53720-852</t>
  </si>
  <si>
    <t>53720-854</t>
  </si>
  <si>
    <t>53720-856</t>
  </si>
  <si>
    <t>58300-000</t>
  </si>
  <si>
    <t>51960-810</t>
  </si>
  <si>
    <t>Supervision and Labor</t>
  </si>
  <si>
    <t>Power for Pumping</t>
  </si>
  <si>
    <t>Power-Aeration Equipment</t>
  </si>
  <si>
    <t>Chemicals</t>
  </si>
  <si>
    <t>Outside Testing Service</t>
  </si>
  <si>
    <t>Operating Supplies &amp; Expenses</t>
  </si>
  <si>
    <t>Transportation Expenses</t>
  </si>
  <si>
    <t>Maint. Sewage Coll. Syst.</t>
  </si>
  <si>
    <t>Maint. Coll. Pumping Equip.</t>
  </si>
  <si>
    <t>Maint. Treatment and Disp. Eq.</t>
  </si>
  <si>
    <t>Biosol Fac/Proc. Exp.</t>
  </si>
  <si>
    <t>Sewer Share of Meter Maint.</t>
  </si>
  <si>
    <t>Sewer Admin. Salaries</t>
  </si>
  <si>
    <t>Admin. Office Supplies</t>
  </si>
  <si>
    <t>Admin. Outside Services</t>
  </si>
  <si>
    <t>Admin. Employee Pension/Be.</t>
  </si>
  <si>
    <t>Sewer Equip. and Repair Fund</t>
  </si>
  <si>
    <t>Admin Misc. Expenses</t>
  </si>
  <si>
    <t xml:space="preserve">Maint. Gen. Plt. </t>
  </si>
  <si>
    <t>Sewer CIP Equipment/Repair</t>
  </si>
  <si>
    <t>Sewer CIP-Employee Retirem.</t>
  </si>
  <si>
    <t>Sewer (620) Fund Totals</t>
  </si>
  <si>
    <t>Page 27</t>
  </si>
  <si>
    <t>Sewer Serv. Unmetered Res.</t>
  </si>
  <si>
    <t>Sewer Serv. Resid. Revenues</t>
  </si>
  <si>
    <t>Sewer-Commercial Revenues</t>
  </si>
  <si>
    <t>Sewer-Industrial Revenues</t>
  </si>
  <si>
    <t>Sewer-Public Authority Rev.</t>
  </si>
  <si>
    <t>Sewer-Forfeited Dist. Penalties</t>
  </si>
  <si>
    <t>Sewer-Misc. Operations Rev.</t>
  </si>
  <si>
    <t>Ass't Griffin St. Lift Station</t>
  </si>
  <si>
    <t>53510-130</t>
  </si>
  <si>
    <t>Administration Benefits</t>
  </si>
  <si>
    <t>Administration Medicare</t>
  </si>
  <si>
    <t>Administration Retirement</t>
  </si>
  <si>
    <t>Design Amery/Donations</t>
  </si>
  <si>
    <t>48400-000</t>
  </si>
  <si>
    <t>Insurance Recoveries</t>
  </si>
  <si>
    <t>49255-000</t>
  </si>
  <si>
    <t>PayPal Transfer In</t>
  </si>
  <si>
    <t>51310-200</t>
  </si>
  <si>
    <t>53414-110</t>
  </si>
  <si>
    <t>Snow and Ice Salaries</t>
  </si>
  <si>
    <t>53414-130</t>
  </si>
  <si>
    <t>53414-131</t>
  </si>
  <si>
    <t>53414-132</t>
  </si>
  <si>
    <t>53414-133</t>
  </si>
  <si>
    <t>Snow and Ice Benefits</t>
  </si>
  <si>
    <t>Snow and Ice S.S.</t>
  </si>
  <si>
    <t>Snow and Ice Medicare</t>
  </si>
  <si>
    <t>Snow and Ice Retirement</t>
  </si>
  <si>
    <t>53440-110</t>
  </si>
  <si>
    <t>53440-130</t>
  </si>
  <si>
    <t>53440-131</t>
  </si>
  <si>
    <t>53440-132</t>
  </si>
  <si>
    <t>53440-133</t>
  </si>
  <si>
    <t>Storm Sewer Salaries</t>
  </si>
  <si>
    <t>Storm Sewer Benefits</t>
  </si>
  <si>
    <t>Storm Sewer S.S.</t>
  </si>
  <si>
    <t>Storm Sewer Medicare</t>
  </si>
  <si>
    <t>Storm Sewer Retirement</t>
  </si>
  <si>
    <t>Fuel Purchase</t>
  </si>
  <si>
    <t>53520-360</t>
  </si>
  <si>
    <t>Taxi Service</t>
  </si>
  <si>
    <t>55300-110</t>
  </si>
  <si>
    <t>Celebrations Salaries</t>
  </si>
  <si>
    <t>55300-130</t>
  </si>
  <si>
    <t>Celebrations Benefits</t>
  </si>
  <si>
    <t>Celebrations S.S.</t>
  </si>
  <si>
    <t>Celebrations Medicare</t>
  </si>
  <si>
    <t>Celebrations Retirement</t>
  </si>
  <si>
    <t>55300-131</t>
  </si>
  <si>
    <t>55300-132</t>
  </si>
  <si>
    <t>55300-133</t>
  </si>
  <si>
    <t>Fire Fighting Apparel</t>
  </si>
  <si>
    <t>Fire Dept. Debt Service</t>
  </si>
  <si>
    <t>53720-840</t>
  </si>
  <si>
    <t>Benefits S.S.</t>
  </si>
  <si>
    <t>Court Employee S.S</t>
  </si>
  <si>
    <t>Benefits S.S</t>
  </si>
  <si>
    <t>Administration S.S</t>
  </si>
  <si>
    <t>53405-210</t>
  </si>
  <si>
    <t>Benefits SS</t>
  </si>
  <si>
    <t>Public Works Vehicle Replacement</t>
  </si>
  <si>
    <t>55180-350</t>
  </si>
  <si>
    <t>City Beautification</t>
  </si>
  <si>
    <t>55200-360</t>
  </si>
  <si>
    <t xml:space="preserve">5K Trail </t>
  </si>
  <si>
    <t>Administration Salaries</t>
  </si>
  <si>
    <t>55110-110</t>
  </si>
  <si>
    <t>55110-130</t>
  </si>
  <si>
    <t>55110-131</t>
  </si>
  <si>
    <t>55110-132</t>
  </si>
  <si>
    <t>55110-133</t>
  </si>
  <si>
    <t>55110-220</t>
  </si>
  <si>
    <t>55110-221</t>
  </si>
  <si>
    <t>55110-222</t>
  </si>
  <si>
    <t>55110-223</t>
  </si>
  <si>
    <t>55110-322</t>
  </si>
  <si>
    <t>55110-330</t>
  </si>
  <si>
    <t>55110-355</t>
  </si>
  <si>
    <t>Water/Sewer</t>
  </si>
  <si>
    <t>Phone/Internet</t>
  </si>
  <si>
    <t>Gas</t>
  </si>
  <si>
    <t>Training/Mileage</t>
  </si>
  <si>
    <t>Condo Fees/Rent</t>
  </si>
  <si>
    <t xml:space="preserve">Parks, Promotions, Recreations cont. </t>
  </si>
  <si>
    <t>Page 1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</si>
  <si>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</si>
  <si>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</si>
  <si>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</si>
  <si>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</si>
  <si>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</si>
  <si>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</si>
  <si>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</si>
  <si>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</si>
  <si>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</si>
  <si>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Page 11</t>
  </si>
  <si>
    <t>Page 12</t>
  </si>
  <si>
    <t>Page 13</t>
  </si>
  <si>
    <t>Page 14</t>
  </si>
  <si>
    <t>Page 15</t>
  </si>
  <si>
    <t>Page 16</t>
  </si>
  <si>
    <t>Page 17</t>
  </si>
  <si>
    <t>Page 18</t>
  </si>
  <si>
    <t>Page 19</t>
  </si>
  <si>
    <t>Page 20</t>
  </si>
  <si>
    <t>Page 21</t>
  </si>
  <si>
    <t>Page 22</t>
  </si>
  <si>
    <t>Page 23</t>
  </si>
  <si>
    <t>Page 24</t>
  </si>
  <si>
    <t>Page 25</t>
  </si>
  <si>
    <t>Page 26</t>
  </si>
  <si>
    <t>TID #9 Fund</t>
  </si>
  <si>
    <t>TID 9 Prof. Service</t>
  </si>
  <si>
    <t>(495) TID #9</t>
  </si>
  <si>
    <t>TID #9 (495) Fund Revenue</t>
  </si>
  <si>
    <t>TID #9 Fund Totals</t>
  </si>
  <si>
    <t>22-23</t>
  </si>
  <si>
    <t>52100-220</t>
  </si>
  <si>
    <t>52100-221</t>
  </si>
  <si>
    <t>52100-222</t>
  </si>
  <si>
    <t>52100-223</t>
  </si>
  <si>
    <t>53412-000</t>
  </si>
  <si>
    <t>Dick's Incentive Pymt</t>
  </si>
  <si>
    <t>Adopted</t>
  </si>
  <si>
    <t>23-24</t>
  </si>
  <si>
    <t>Public Works Totals</t>
  </si>
  <si>
    <t>53630-210</t>
  </si>
  <si>
    <t>Library Requested Funds for 2024</t>
  </si>
  <si>
    <t>Approved</t>
  </si>
  <si>
    <t>55110-310</t>
  </si>
  <si>
    <t>Op. Sup. &amp; Exp. - Technology</t>
  </si>
  <si>
    <t>Op. Sup. &amp; Exp. - Janitorial</t>
  </si>
  <si>
    <t>Op. Sup. &amp; Exp. - Contracts for Services</t>
  </si>
  <si>
    <t>Op. Sup. &amp; Exp. - Electronic Materials</t>
  </si>
  <si>
    <t>Op. Sup. &amp; Exp. - Library</t>
  </si>
  <si>
    <t>Op. Sup. &amp; Exp. - Print Materials</t>
  </si>
  <si>
    <t>Op. Sup. &amp; Exp. - Audivisual Materials</t>
  </si>
  <si>
    <t>55110-350</t>
  </si>
  <si>
    <t>Bld. Sup.&amp;Maint-Repair</t>
  </si>
  <si>
    <t>Bld. Sup.&amp;Maint-Garbage</t>
  </si>
  <si>
    <t>Total Library Expenditures</t>
  </si>
  <si>
    <t>City of Amery appropriation</t>
  </si>
  <si>
    <t>Act 150 requested amount (counties are only obligated to pay 70% of the cost of serving their rural residents)</t>
  </si>
  <si>
    <t>Fund balance allocation (see 5 yr plan)</t>
  </si>
  <si>
    <t>St. Croix Valley Foundation Annual Grant</t>
  </si>
  <si>
    <t>Total Library Revenues</t>
  </si>
  <si>
    <t>NOTICE OF PUBLIC HEARING FOR THE CITY OF AMERY, WISCONSIN</t>
  </si>
  <si>
    <t>2024 Budget</t>
  </si>
  <si>
    <t>NOTICE IS HEREBY GIVEN, That on November 15, 2023 at 5:00 P.M. at the City Hall, Amery, The City Council will</t>
  </si>
  <si>
    <t>hold a public hearing on the proposed budget for 2023.  The following is a summary of the proposed budget, a detailed</t>
  </si>
  <si>
    <t>account of the proposed budget may be inspected at City hall.</t>
  </si>
  <si>
    <t xml:space="preserve">      </t>
  </si>
  <si>
    <t>2024</t>
  </si>
  <si>
    <t>2023</t>
  </si>
  <si>
    <t>Percent</t>
  </si>
  <si>
    <t>GENERAL FUND</t>
  </si>
  <si>
    <t>Budget</t>
  </si>
  <si>
    <t>Change</t>
  </si>
  <si>
    <t>Expenditures:</t>
  </si>
  <si>
    <t xml:space="preserve">General Government                       </t>
  </si>
  <si>
    <t xml:space="preserve">Public Safety                              </t>
  </si>
  <si>
    <t xml:space="preserve">Health and Human Services             </t>
  </si>
  <si>
    <t xml:space="preserve">Culture, Recreation and Education   </t>
  </si>
  <si>
    <t xml:space="preserve">Conservation and Development      </t>
  </si>
  <si>
    <t>Total Expenditures and Other Uses</t>
  </si>
  <si>
    <t>Revenues and Other Sources:</t>
  </si>
  <si>
    <t>Taxes:</t>
  </si>
  <si>
    <t xml:space="preserve">Intergovernmental                          </t>
  </si>
  <si>
    <t xml:space="preserve">Licenses and Permits                       </t>
  </si>
  <si>
    <t xml:space="preserve">Fines, Forfeitures and Penalties       </t>
  </si>
  <si>
    <t xml:space="preserve">Public Charges for Services              </t>
  </si>
  <si>
    <t>Fund Balance Applied</t>
  </si>
  <si>
    <t>Total Revenues and Other Sources</t>
  </si>
  <si>
    <t>Estimated</t>
  </si>
  <si>
    <t>Fund Balance</t>
  </si>
  <si>
    <t>Total</t>
  </si>
  <si>
    <t>Property Tax</t>
  </si>
  <si>
    <t>1/1/24</t>
  </si>
  <si>
    <t>Revenues</t>
  </si>
  <si>
    <t>Expenditures</t>
  </si>
  <si>
    <t>12/31/24</t>
  </si>
  <si>
    <t>Contribution</t>
  </si>
  <si>
    <t>City General Fund</t>
  </si>
  <si>
    <t>Special Revenue Funds:</t>
  </si>
  <si>
    <t xml:space="preserve">Library </t>
  </si>
  <si>
    <t>Debt Service Fund:</t>
  </si>
  <si>
    <t>General Long-term Debt</t>
  </si>
  <si>
    <t>Capital Projects Funds:</t>
  </si>
  <si>
    <t>Capital Projects Fund</t>
  </si>
  <si>
    <t>Tax Incremental District #6</t>
  </si>
  <si>
    <t>Tax Incremental District #7</t>
  </si>
  <si>
    <t>Tax Incremental District #8</t>
  </si>
  <si>
    <t>Tax Incremental District #9</t>
  </si>
  <si>
    <t>Amount</t>
  </si>
  <si>
    <t>City Tax Levy</t>
  </si>
  <si>
    <t>City Tax Rate per $1,000 Value</t>
  </si>
  <si>
    <t>City Assessed Value Without TID</t>
  </si>
  <si>
    <t>Approved this November 15, 2023</t>
  </si>
  <si>
    <t>Combined Tax-Supported Funds</t>
  </si>
  <si>
    <t>Transfer to Capital Projects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</si>
</sst>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  <numFmt numFmtId="167" formatCode="_(&quot;$&quot;* #,##0.0000_);_(&quot;$&quot;* \(#,##0.0000\);_(&quot;$&quot;* &quot;-&quot;??_);_(@_)"/>
    <numFmt numFmtId="168" formatCode="&quot;$&quot;#,##0.000_);\(&quot;$&quot;#,##0.00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10" fontId="0" fillId="0" borderId="0" xfId="0" applyNumberFormat="1"/>
    <xf numFmtId="3" fontId="0" fillId="0" borderId="0" xfId="0" applyNumberFormat="1"/>
    <xf numFmtId="9" fontId="0" fillId="0" borderId="0" xfId="1" applyFont="1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9" fontId="0" fillId="0" borderId="0" xfId="1" applyFont="1" applyAlignment="1">
      <alignment horizontal="right"/>
    </xf>
    <xf numFmtId="3" fontId="3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0" fontId="5" fillId="0" borderId="0" xfId="0" applyFont="1"/>
    <xf numFmtId="9" fontId="5" fillId="0" borderId="0" xfId="1" applyFont="1"/>
    <xf numFmtId="9" fontId="5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/>
    <xf numFmtId="0" fontId="5" fillId="0" borderId="1" xfId="0" applyFont="1" applyBorder="1"/>
    <xf numFmtId="9" fontId="5" fillId="2" borderId="1" xfId="1" applyFont="1" applyFill="1" applyBorder="1"/>
    <xf numFmtId="3" fontId="0" fillId="0" borderId="1" xfId="0" applyNumberFormat="1" applyBorder="1"/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6" fillId="0" borderId="1" xfId="0" applyFont="1" applyBorder="1"/>
    <xf numFmtId="9" fontId="0" fillId="2" borderId="1" xfId="1" applyFont="1" applyFill="1" applyBorder="1"/>
    <xf numFmtId="3" fontId="6" fillId="0" borderId="1" xfId="0" applyNumberFormat="1" applyFont="1" applyBorder="1"/>
    <xf numFmtId="9" fontId="2" fillId="2" borderId="1" xfId="1" applyFont="1" applyFill="1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0" fontId="0" fillId="0" borderId="1" xfId="0" applyBorder="1" applyAlignment="1">
      <alignment horizontal="left"/>
    </xf>
    <xf numFmtId="0" fontId="10" fillId="0" borderId="1" xfId="0" applyFont="1" applyBorder="1"/>
    <xf numFmtId="0" fontId="0" fillId="2" borderId="1" xfId="0" applyFill="1" applyBorder="1"/>
    <xf numFmtId="3" fontId="0" fillId="2" borderId="1" xfId="0" applyNumberFormat="1" applyFill="1" applyBorder="1"/>
    <xf numFmtId="0" fontId="10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2" xfId="0" applyBorder="1"/>
    <xf numFmtId="0" fontId="11" fillId="0" borderId="1" xfId="0" applyFont="1" applyBorder="1" applyAlignment="1">
      <alignment horizontal="left"/>
    </xf>
    <xf numFmtId="9" fontId="0" fillId="0" borderId="1" xfId="1" applyFont="1" applyFill="1" applyBorder="1"/>
    <xf numFmtId="9" fontId="2" fillId="0" borderId="1" xfId="1" applyFont="1" applyFill="1" applyBorder="1"/>
    <xf numFmtId="0" fontId="2" fillId="0" borderId="0" xfId="0" applyFont="1" applyAlignment="1">
      <alignment horizontal="center"/>
    </xf>
    <xf numFmtId="3" fontId="2" fillId="0" borderId="0" xfId="0" applyNumberFormat="1" applyFont="1"/>
    <xf numFmtId="3" fontId="6" fillId="0" borderId="0" xfId="0" applyNumberFormat="1" applyFont="1"/>
    <xf numFmtId="9" fontId="2" fillId="0" borderId="0" xfId="0" applyNumberFormat="1" applyFont="1"/>
    <xf numFmtId="9" fontId="6" fillId="0" borderId="0" xfId="1" applyFont="1" applyBorder="1"/>
    <xf numFmtId="164" fontId="1" fillId="0" borderId="0" xfId="2" applyNumberFormat="1" applyFont="1"/>
    <xf numFmtId="164" fontId="1" fillId="0" borderId="0" xfId="2" applyNumberFormat="1" applyFont="1" applyBorder="1"/>
    <xf numFmtId="0" fontId="7" fillId="0" borderId="2" xfId="0" applyFont="1" applyBorder="1" applyAlignment="1">
      <alignment horizontal="center"/>
    </xf>
    <xf numFmtId="0" fontId="0" fillId="0" borderId="3" xfId="0" applyBorder="1"/>
    <xf numFmtId="0" fontId="2" fillId="0" borderId="3" xfId="0" applyFont="1" applyBorder="1"/>
    <xf numFmtId="9" fontId="9" fillId="0" borderId="0" xfId="1" applyFont="1" applyBorder="1"/>
    <xf numFmtId="0" fontId="2" fillId="0" borderId="2" xfId="0" applyFont="1" applyBorder="1"/>
    <xf numFmtId="0" fontId="11" fillId="0" borderId="1" xfId="0" applyFont="1" applyBorder="1"/>
    <xf numFmtId="0" fontId="10" fillId="0" borderId="3" xfId="0" applyFont="1" applyBorder="1"/>
    <xf numFmtId="0" fontId="7" fillId="3" borderId="1" xfId="0" applyFont="1" applyFill="1" applyBorder="1" applyAlignment="1">
      <alignment horizontal="center"/>
    </xf>
    <xf numFmtId="3" fontId="0" fillId="3" borderId="1" xfId="0" applyNumberFormat="1" applyFill="1" applyBorder="1"/>
    <xf numFmtId="0" fontId="0" fillId="3" borderId="1" xfId="0" applyFill="1" applyBorder="1"/>
    <xf numFmtId="0" fontId="0" fillId="3" borderId="0" xfId="0" applyFill="1"/>
    <xf numFmtId="0" fontId="2" fillId="3" borderId="1" xfId="0" applyFont="1" applyFill="1" applyBorder="1"/>
    <xf numFmtId="3" fontId="2" fillId="3" borderId="1" xfId="0" applyNumberFormat="1" applyFont="1" applyFill="1" applyBorder="1"/>
    <xf numFmtId="0" fontId="5" fillId="0" borderId="3" xfId="0" applyFont="1" applyBorder="1"/>
    <xf numFmtId="0" fontId="6" fillId="0" borderId="3" xfId="0" applyFont="1" applyBorder="1"/>
    <xf numFmtId="0" fontId="0" fillId="0" borderId="5" xfId="0" applyBorder="1"/>
    <xf numFmtId="0" fontId="0" fillId="0" borderId="4" xfId="0" applyBorder="1"/>
    <xf numFmtId="164" fontId="1" fillId="0" borderId="0" xfId="2" applyNumberFormat="1" applyFont="1" applyFill="1"/>
    <xf numFmtId="9" fontId="5" fillId="0" borderId="1" xfId="1" applyFont="1" applyFill="1" applyBorder="1"/>
    <xf numFmtId="9" fontId="6" fillId="0" borderId="1" xfId="1" applyFont="1" applyFill="1" applyBorder="1"/>
    <xf numFmtId="3" fontId="5" fillId="0" borderId="1" xfId="0" applyNumberFormat="1" applyFont="1" applyBorder="1"/>
    <xf numFmtId="3" fontId="2" fillId="2" borderId="1" xfId="0" applyNumberFormat="1" applyFont="1" applyFill="1" applyBorder="1"/>
    <xf numFmtId="0" fontId="2" fillId="2" borderId="1" xfId="0" applyFont="1" applyFill="1" applyBorder="1"/>
    <xf numFmtId="0" fontId="5" fillId="2" borderId="1" xfId="0" applyFont="1" applyFill="1" applyBorder="1"/>
    <xf numFmtId="9" fontId="6" fillId="2" borderId="1" xfId="1" applyFont="1" applyFill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2" fillId="5" borderId="1" xfId="0" applyFont="1" applyFill="1" applyBorder="1"/>
    <xf numFmtId="9" fontId="12" fillId="0" borderId="1" xfId="0" applyNumberFormat="1" applyFont="1" applyBorder="1"/>
    <xf numFmtId="9" fontId="12" fillId="4" borderId="1" xfId="0" applyNumberFormat="1" applyFont="1" applyFill="1" applyBorder="1"/>
    <xf numFmtId="0" fontId="12" fillId="6" borderId="1" xfId="0" applyFont="1" applyFill="1" applyBorder="1"/>
    <xf numFmtId="9" fontId="0" fillId="0" borderId="0" xfId="1" applyFont="1" applyFill="1" applyBorder="1"/>
    <xf numFmtId="9" fontId="2" fillId="0" borderId="0" xfId="1" applyFont="1" applyFill="1" applyBorder="1"/>
    <xf numFmtId="0" fontId="15" fillId="0" borderId="0" xfId="0" quotePrefix="1" applyFont="1"/>
    <xf numFmtId="0" fontId="15" fillId="0" borderId="0" xfId="0" applyFont="1"/>
    <xf numFmtId="43" fontId="16" fillId="0" borderId="0" xfId="2" applyFont="1" applyFill="1"/>
    <xf numFmtId="0" fontId="17" fillId="0" borderId="0" xfId="0" applyFont="1"/>
    <xf numFmtId="0" fontId="14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quotePrefix="1" applyFont="1" applyAlignment="1">
      <alignment horizontal="centerContinuous"/>
    </xf>
    <xf numFmtId="0" fontId="15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  <xf numFmtId="0" fontId="18" fillId="0" borderId="0" xfId="0" applyFont="1"/>
    <xf numFmtId="0" fontId="15" fillId="0" borderId="6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166" fontId="15" fillId="0" borderId="0" xfId="4" applyNumberFormat="1" applyFont="1" applyFill="1" applyBorder="1" applyAlignment="1">
      <alignment horizontal="right"/>
    </xf>
    <xf numFmtId="165" fontId="15" fillId="0" borderId="0" xfId="4" applyNumberFormat="1" applyFont="1" applyFill="1" applyAlignment="1">
      <alignment horizontal="right"/>
    </xf>
    <xf numFmtId="165" fontId="15" fillId="0" borderId="0" xfId="4" applyNumberFormat="1" applyFont="1" applyFill="1" applyBorder="1" applyAlignment="1">
      <alignment horizontal="right"/>
    </xf>
    <xf numFmtId="10" fontId="15" fillId="0" borderId="0" xfId="1" applyNumberFormat="1" applyFont="1" applyFill="1"/>
    <xf numFmtId="164" fontId="15" fillId="0" borderId="0" xfId="2" applyNumberFormat="1" applyFont="1" applyFill="1" applyBorder="1" applyAlignment="1">
      <alignment horizontal="right"/>
    </xf>
    <xf numFmtId="164" fontId="15" fillId="0" borderId="0" xfId="2" applyNumberFormat="1" applyFont="1" applyFill="1" applyAlignment="1">
      <alignment horizontal="right"/>
    </xf>
    <xf numFmtId="10" fontId="15" fillId="0" borderId="0" xfId="1" applyNumberFormat="1" applyFont="1" applyFill="1" applyBorder="1"/>
    <xf numFmtId="166" fontId="15" fillId="0" borderId="0" xfId="2" applyNumberFormat="1" applyFont="1" applyFill="1" applyBorder="1"/>
    <xf numFmtId="164" fontId="15" fillId="0" borderId="0" xfId="2" applyNumberFormat="1" applyFont="1" applyFill="1"/>
    <xf numFmtId="164" fontId="15" fillId="0" borderId="0" xfId="2" applyNumberFormat="1" applyFont="1" applyFill="1" applyBorder="1"/>
    <xf numFmtId="165" fontId="15" fillId="0" borderId="7" xfId="4" applyNumberFormat="1" applyFont="1" applyFill="1" applyBorder="1"/>
    <xf numFmtId="164" fontId="15" fillId="2" borderId="0" xfId="2" applyNumberFormat="1" applyFont="1" applyFill="1"/>
    <xf numFmtId="165" fontId="15" fillId="0" borderId="0" xfId="4" applyNumberFormat="1" applyFont="1" applyFill="1"/>
    <xf numFmtId="164" fontId="15" fillId="2" borderId="0" xfId="2" applyNumberFormat="1" applyFont="1" applyFill="1" applyBorder="1"/>
    <xf numFmtId="43" fontId="15" fillId="0" borderId="0" xfId="2" applyFont="1" applyFill="1"/>
    <xf numFmtId="0" fontId="20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5" fillId="0" borderId="6" xfId="0" quotePrefix="1" applyFont="1" applyBorder="1" applyAlignment="1">
      <alignment horizontal="center"/>
    </xf>
    <xf numFmtId="166" fontId="15" fillId="0" borderId="0" xfId="4" applyNumberFormat="1" applyFont="1" applyFill="1" applyBorder="1"/>
    <xf numFmtId="165" fontId="15" fillId="0" borderId="0" xfId="4" applyNumberFormat="1" applyFont="1" applyFill="1" applyBorder="1"/>
    <xf numFmtId="166" fontId="15" fillId="0" borderId="0" xfId="4" applyNumberFormat="1" applyFont="1" applyFill="1"/>
    <xf numFmtId="167" fontId="15" fillId="0" borderId="0" xfId="4" applyNumberFormat="1" applyFont="1" applyFill="1"/>
    <xf numFmtId="167" fontId="15" fillId="0" borderId="0" xfId="4" applyNumberFormat="1" applyFont="1" applyFill="1" applyBorder="1"/>
    <xf numFmtId="168" fontId="15" fillId="0" borderId="0" xfId="0" applyNumberFormat="1" applyFont="1"/>
    <xf numFmtId="166" fontId="15" fillId="0" borderId="0" xfId="0" applyNumberFormat="1" applyFont="1"/>
    <xf numFmtId="43" fontId="21" fillId="0" borderId="0" xfId="2" applyFont="1" applyFill="1"/>
    <xf numFmtId="164" fontId="0" fillId="0" borderId="1" xfId="2" applyNumberFormat="1" applyFont="1" applyBorder="1"/>
    <xf numFmtId="164" fontId="0" fillId="2" borderId="1" xfId="2" applyNumberFormat="1" applyFont="1" applyFill="1" applyBorder="1"/>
    <xf numFmtId="164" fontId="2" fillId="0" borderId="1" xfId="2" applyNumberFormat="1" applyFont="1" applyBorder="1"/>
    <xf numFmtId="164" fontId="2" fillId="2" borderId="1" xfId="2" applyNumberFormat="1" applyFont="1" applyFill="1" applyBorder="1"/>
    <xf numFmtId="164" fontId="0" fillId="0" borderId="2" xfId="2" applyNumberFormat="1" applyFont="1" applyBorder="1"/>
    <xf numFmtId="164" fontId="2" fillId="0" borderId="2" xfId="2" applyNumberFormat="1" applyFont="1" applyBorder="1"/>
    <xf numFmtId="164" fontId="0" fillId="3" borderId="1" xfId="2" applyNumberFormat="1" applyFont="1" applyFill="1" applyBorder="1"/>
    <xf numFmtId="164" fontId="2" fillId="3" borderId="1" xfId="2" applyNumberFormat="1" applyFont="1" applyFill="1" applyBorder="1"/>
    <xf numFmtId="164" fontId="5" fillId="2" borderId="1" xfId="2" applyNumberFormat="1" applyFont="1" applyFill="1" applyBorder="1"/>
    <xf numFmtId="164" fontId="5" fillId="0" borderId="1" xfId="2" applyNumberFormat="1" applyFont="1" applyFill="1" applyBorder="1"/>
    <xf numFmtId="164" fontId="6" fillId="0" borderId="1" xfId="2" applyNumberFormat="1" applyFont="1" applyBorder="1"/>
    <xf numFmtId="164" fontId="6" fillId="0" borderId="1" xfId="2" applyNumberFormat="1" applyFont="1" applyFill="1" applyBorder="1"/>
    <xf numFmtId="164" fontId="0" fillId="2" borderId="2" xfId="2" applyNumberFormat="1" applyFont="1" applyFill="1" applyBorder="1"/>
    <xf numFmtId="164" fontId="5" fillId="0" borderId="2" xfId="2" applyNumberFormat="1" applyFont="1" applyBorder="1"/>
    <xf numFmtId="164" fontId="12" fillId="5" borderId="1" xfId="2" applyNumberFormat="1" applyFont="1" applyFill="1" applyBorder="1"/>
    <xf numFmtId="164" fontId="12" fillId="4" borderId="1" xfId="2" applyNumberFormat="1" applyFont="1" applyFill="1" applyBorder="1"/>
    <xf numFmtId="164" fontId="12" fillId="0" borderId="1" xfId="2" applyNumberFormat="1" applyFont="1" applyBorder="1"/>
    <xf numFmtId="164" fontId="12" fillId="6" borderId="1" xfId="2" applyNumberFormat="1" applyFont="1" applyFill="1" applyBorder="1"/>
    <xf numFmtId="164" fontId="12" fillId="7" borderId="1" xfId="2" applyNumberFormat="1" applyFont="1" applyFill="1" applyBorder="1" applyAlignment="1">
      <alignment horizontal="right" wrapText="1"/>
    </xf>
    <xf numFmtId="164" fontId="0" fillId="0" borderId="1" xfId="2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165" fontId="15" fillId="0" borderId="0" xfId="0" applyNumberFormat="1" applyFont="1"/>
    <xf numFmtId="164" fontId="16" fillId="0" borderId="0" xfId="2" applyNumberFormat="1" applyFont="1" applyFill="1"/>
    <xf numFmtId="164" fontId="16" fillId="0" borderId="0" xfId="2" applyNumberFormat="1" applyFont="1" applyFill="1" applyAlignment="1">
      <alignment horizontal="right"/>
    </xf>
    <xf numFmtId="164" fontId="22" fillId="2" borderId="1" xfId="2" applyNumberFormat="1" applyFont="1" applyFill="1" applyBorder="1"/>
  </cellXfs>
  <cellStyles count="5">
    <cellStyle name="Comma" xfId="2" builtinId="3"/>
    <cellStyle name="Currency" xfId="4" builtinId="4"/>
    <cellStyle name="Normal" xfId="0" builtinId="0"/>
    <cellStyle name="Normal 38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10583</xdr:colOff>
      <xdr:row>2</xdr:row>
      <xdr:rowOff>0</xdr:rowOff>
    </xdr:from>
    <xdr:to>
      <xdr:col>6</xdr:col>
      <xdr:colOff>423334</xdr:colOff>
      <xdr:row>5</xdr:row>
      <xdr:rowOff>10584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372D036-0869-4E3C-A030-DAAFC558E3DE}"/>
            </a:ext>
          </a:extLst>
        </xdr:cNvPr>
        <xdr:cNvSpPr txBox="1"/>
      </xdr:nvSpPr>
      <xdr:spPr>
        <a:xfrm>
          <a:off x="1270000" y="359833"/>
          <a:ext cx="3069167" cy="55033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800" b="1"/>
            <a:t>Revenues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324303</xdr:colOff>
      <xdr:row>2</xdr:row>
      <xdr:rowOff>12474</xdr:rowOff>
    </xdr:from>
    <xdr:to>
      <xdr:col>6</xdr:col>
      <xdr:colOff>379866</xdr:colOff>
      <xdr:row>5</xdr:row>
      <xdr:rowOff>27215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B6D7AEB-2627-4D9D-8A48-36BC2F7ED8A0}"/>
            </a:ext>
          </a:extLst>
        </xdr:cNvPr>
        <xdr:cNvSpPr txBox="1"/>
      </xdr:nvSpPr>
      <xdr:spPr>
        <a:xfrm>
          <a:off x="950232" y="375331"/>
          <a:ext cx="3330348" cy="55902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 b="1"/>
            <a:t>TID #6 (410) Fund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171450</xdr:rowOff>
    </xdr:from>
    <xdr:to>
      <xdr:col>5</xdr:col>
      <xdr:colOff>647700</xdr:colOff>
      <xdr:row>3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30C563B-4923-4484-8192-6C644F237FF9}"/>
            </a:ext>
          </a:extLst>
        </xdr:cNvPr>
        <xdr:cNvSpPr txBox="1"/>
      </xdr:nvSpPr>
      <xdr:spPr>
        <a:xfrm>
          <a:off x="1219200" y="171450"/>
          <a:ext cx="3155950" cy="552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/>
            <a:t>TID #7</a:t>
          </a:r>
          <a:r>
            <a:rPr lang="en-US" sz="2400" b="1" baseline="0"/>
            <a:t> (420) Fund</a:t>
          </a:r>
          <a:endParaRPr lang="en-US" sz="2400" b="1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387349</xdr:colOff>
      <xdr:row>1</xdr:row>
      <xdr:rowOff>10583</xdr:rowOff>
    </xdr:from>
    <xdr:to>
      <xdr:col>6</xdr:col>
      <xdr:colOff>366183</xdr:colOff>
      <xdr:row>4</xdr:row>
      <xdr:rowOff>16933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0BA8126-8CCE-4502-926B-4AE171323FBC}"/>
            </a:ext>
          </a:extLst>
        </xdr:cNvPr>
        <xdr:cNvSpPr txBox="1"/>
      </xdr:nvSpPr>
      <xdr:spPr>
        <a:xfrm>
          <a:off x="1043516" y="201083"/>
          <a:ext cx="3302000" cy="5778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/>
            <a:t>TID #8 (485) Fund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69850</xdr:rowOff>
    </xdr:from>
    <xdr:to>
      <xdr:col>6</xdr:col>
      <xdr:colOff>444500</xdr:colOff>
      <xdr:row>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2762A2B-5A7D-479A-87BA-475DFB12EC6B}"/>
            </a:ext>
          </a:extLst>
        </xdr:cNvPr>
        <xdr:cNvSpPr txBox="1"/>
      </xdr:nvSpPr>
      <xdr:spPr>
        <a:xfrm>
          <a:off x="1219200" y="69850"/>
          <a:ext cx="2882900" cy="596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/>
            <a:t>TID #9</a:t>
          </a:r>
          <a:r>
            <a:rPr lang="en-US" sz="2400" b="1" baseline="0"/>
            <a:t> (495) Fund</a:t>
          </a:r>
          <a:endParaRPr lang="en-US" sz="2400" b="1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533047</xdr:colOff>
      <xdr:row>1</xdr:row>
      <xdr:rowOff>7055</xdr:rowOff>
    </xdr:from>
    <xdr:to>
      <xdr:col>6</xdr:col>
      <xdr:colOff>678656</xdr:colOff>
      <xdr:row>4</xdr:row>
      <xdr:rowOff>47624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AF5ED08-29B2-4EBA-97FE-8929D93ECFEA}"/>
            </a:ext>
          </a:extLst>
        </xdr:cNvPr>
        <xdr:cNvSpPr txBox="1"/>
      </xdr:nvSpPr>
      <xdr:spPr>
        <a:xfrm>
          <a:off x="1223610" y="197555"/>
          <a:ext cx="3336484" cy="61206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800" b="1"/>
            <a:t>Water (610) Fund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176389</xdr:rowOff>
    </xdr:from>
    <xdr:to>
      <xdr:col>7</xdr:col>
      <xdr:colOff>0</xdr:colOff>
      <xdr:row>4</xdr:row>
      <xdr:rowOff>7055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6A33B6D-4BFD-4D3A-BAC4-D6965F0DCB72}"/>
            </a:ext>
          </a:extLst>
        </xdr:cNvPr>
        <xdr:cNvSpPr txBox="1"/>
      </xdr:nvSpPr>
      <xdr:spPr>
        <a:xfrm>
          <a:off x="1213556" y="176389"/>
          <a:ext cx="3033888" cy="56444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800" b="1"/>
            <a:t>Sewer</a:t>
          </a:r>
          <a:r>
            <a:rPr lang="en-US" sz="2800" b="1" baseline="0"/>
            <a:t> (620) Fund</a:t>
          </a:r>
          <a:endParaRPr lang="en-US" sz="28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9071</xdr:colOff>
      <xdr:row>1</xdr:row>
      <xdr:rowOff>0</xdr:rowOff>
    </xdr:from>
    <xdr:to>
      <xdr:col>7</xdr:col>
      <xdr:colOff>0</xdr:colOff>
      <xdr:row>4</xdr:row>
      <xdr:rowOff>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D588A5F-0344-4FEE-9363-28A8ABB70E84}"/>
            </a:ext>
          </a:extLst>
        </xdr:cNvPr>
        <xdr:cNvSpPr txBox="1"/>
      </xdr:nvSpPr>
      <xdr:spPr>
        <a:xfrm>
          <a:off x="1300238" y="179917"/>
          <a:ext cx="3303512" cy="53975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800" b="1"/>
            <a:t>General</a:t>
          </a:r>
          <a:r>
            <a:rPr lang="en-US" sz="2800" b="1" baseline="0"/>
            <a:t> Gov't </a:t>
          </a:r>
          <a:endParaRPr lang="en-US" sz="28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0</xdr:row>
      <xdr:rowOff>189179</xdr:rowOff>
    </xdr:from>
    <xdr:to>
      <xdr:col>6</xdr:col>
      <xdr:colOff>518583</xdr:colOff>
      <xdr:row>3</xdr:row>
      <xdr:rowOff>178594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B5CADB3-4860-4797-A5B2-8CD3C65ABF14}"/>
            </a:ext>
          </a:extLst>
        </xdr:cNvPr>
        <xdr:cNvSpPr txBox="1"/>
      </xdr:nvSpPr>
      <xdr:spPr>
        <a:xfrm>
          <a:off x="904874" y="189179"/>
          <a:ext cx="3816615" cy="5609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800" b="1"/>
            <a:t>Public Safety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105834</xdr:colOff>
      <xdr:row>1</xdr:row>
      <xdr:rowOff>10584</xdr:rowOff>
    </xdr:from>
    <xdr:to>
      <xdr:col>7</xdr:col>
      <xdr:colOff>590021</xdr:colOff>
      <xdr:row>4</xdr:row>
      <xdr:rowOff>113772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E33E720-653E-4027-9F3D-91CD7D2CD480}"/>
            </a:ext>
          </a:extLst>
        </xdr:cNvPr>
        <xdr:cNvSpPr txBox="1"/>
      </xdr:nvSpPr>
      <xdr:spPr>
        <a:xfrm>
          <a:off x="793751" y="190501"/>
          <a:ext cx="4251853" cy="64293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800" b="1"/>
            <a:t>Public Works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599722</xdr:colOff>
      <xdr:row>1</xdr:row>
      <xdr:rowOff>0</xdr:rowOff>
    </xdr:from>
    <xdr:to>
      <xdr:col>7</xdr:col>
      <xdr:colOff>7055</xdr:colOff>
      <xdr:row>5</xdr:row>
      <xdr:rowOff>35278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2B04202-48BC-4EFC-80BE-28936C0693AA}"/>
            </a:ext>
          </a:extLst>
        </xdr:cNvPr>
        <xdr:cNvSpPr txBox="1"/>
      </xdr:nvSpPr>
      <xdr:spPr>
        <a:xfrm>
          <a:off x="1107722" y="183444"/>
          <a:ext cx="3048000" cy="76905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 b="1"/>
            <a:t>Health</a:t>
          </a:r>
          <a:r>
            <a:rPr lang="en-US" sz="2000" b="1" baseline="0"/>
            <a:t> and Human Services</a:t>
          </a:r>
          <a:endParaRPr lang="en-US" sz="20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174625</xdr:rowOff>
    </xdr:from>
    <xdr:to>
      <xdr:col>7</xdr:col>
      <xdr:colOff>7938</xdr:colOff>
      <xdr:row>4</xdr:row>
      <xdr:rowOff>174625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6440317-2DCA-4B76-8004-3F284F418F6D}"/>
            </a:ext>
          </a:extLst>
        </xdr:cNvPr>
        <xdr:cNvSpPr txBox="1"/>
      </xdr:nvSpPr>
      <xdr:spPr>
        <a:xfrm>
          <a:off x="1222375" y="174625"/>
          <a:ext cx="3198813" cy="730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 b="1"/>
            <a:t>Culture, Recreation, and Education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171450</xdr:rowOff>
    </xdr:from>
    <xdr:to>
      <xdr:col>6</xdr:col>
      <xdr:colOff>0</xdr:colOff>
      <xdr:row>4</xdr:row>
      <xdr:rowOff>127000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304D71C-5C80-4431-B951-95D6AB2D4248}"/>
            </a:ext>
          </a:extLst>
        </xdr:cNvPr>
        <xdr:cNvSpPr txBox="1"/>
      </xdr:nvSpPr>
      <xdr:spPr>
        <a:xfrm>
          <a:off x="1225550" y="171450"/>
          <a:ext cx="3181350" cy="692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Conservation and Development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6350</xdr:rowOff>
    </xdr:from>
    <xdr:to>
      <xdr:col>6</xdr:col>
      <xdr:colOff>6350</xdr:colOff>
      <xdr:row>3</xdr:row>
      <xdr:rowOff>12700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9A37A1A-BAD8-4237-BC72-4B83689C6053}"/>
            </a:ext>
          </a:extLst>
        </xdr:cNvPr>
        <xdr:cNvSpPr txBox="1"/>
      </xdr:nvSpPr>
      <xdr:spPr>
        <a:xfrm>
          <a:off x="1244600" y="190500"/>
          <a:ext cx="3282950" cy="3746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 b="1"/>
            <a:t>Debt Service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165100</xdr:rowOff>
    </xdr:from>
    <xdr:to>
      <xdr:col>6</xdr:col>
      <xdr:colOff>6350</xdr:colOff>
      <xdr:row>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469A230-5D4F-4E2E-BAD2-CFECF88B6898}"/>
            </a:ext>
          </a:extLst>
        </xdr:cNvPr>
        <xdr:cNvSpPr txBox="1"/>
      </xdr:nvSpPr>
      <xdr:spPr>
        <a:xfrm>
          <a:off x="1250950" y="165100"/>
          <a:ext cx="3251200" cy="5715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800" b="1"/>
            <a:t>Capital</a:t>
          </a:r>
          <a:r>
            <a:rPr lang="en-US" sz="2800" b="1" baseline="0"/>
            <a:t> Projects</a:t>
          </a:r>
          <a:endParaRPr lang="en-US" sz="28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910CA-B403-45CD-83E3-EC77B9947BCF}">
  <dimension ref="A1:AH66"/>
  <sheetViews>
    <sheetView tabSelected="1" view="pageBreakPreview" zoomScale="85" zoomScaleNormal="85" zoomScaleSheetLayoutView="85" workbookViewId="0">
      <selection activeCell="H49" sqref="H49"/>
    </sheetView>
  </sheetViews>
  <sheetFormatPr defaultColWidth="10.88671875" defaultRowHeight="15" x14ac:dyDescent="0.25"/>
  <cols>
    <col min="1" max="4" width="2.33203125" style="87" customWidth="1"/>
    <col min="5" max="5" width="36.5546875" style="87" customWidth="1"/>
    <col min="6" max="6" width="15.44140625" style="87" bestFit="1" customWidth="1"/>
    <col min="7" max="7" width="1.33203125" style="87" customWidth="1"/>
    <col min="8" max="8" width="15.44140625" style="87" bestFit="1" customWidth="1"/>
    <col min="9" max="9" width="1.33203125" style="87" customWidth="1"/>
    <col min="10" max="10" width="15.44140625" style="87" bestFit="1" customWidth="1"/>
    <col min="11" max="11" width="1.33203125" style="87" customWidth="1"/>
    <col min="12" max="12" width="14.77734375" style="87" customWidth="1"/>
    <col min="13" max="13" width="1.33203125" style="87" customWidth="1"/>
    <col min="14" max="14" width="13.5546875" style="87" customWidth="1"/>
    <col min="15" max="15" width="4.77734375" style="87" customWidth="1"/>
    <col min="16" max="16" width="15.77734375" style="87" customWidth="1"/>
    <col min="17" max="18" width="15.77734375" style="122" customWidth="1"/>
    <col min="19" max="22" width="15.77734375" style="87" customWidth="1"/>
    <col min="23" max="256" width="10.88671875" style="87"/>
    <col min="257" max="260" width="2.33203125" style="87" customWidth="1"/>
    <col min="261" max="261" width="36.5546875" style="87" customWidth="1"/>
    <col min="262" max="262" width="15.44140625" style="87" bestFit="1" customWidth="1"/>
    <col min="263" max="263" width="1.33203125" style="87" customWidth="1"/>
    <col min="264" max="264" width="15.44140625" style="87" bestFit="1" customWidth="1"/>
    <col min="265" max="265" width="1.33203125" style="87" customWidth="1"/>
    <col min="266" max="266" width="15.44140625" style="87" bestFit="1" customWidth="1"/>
    <col min="267" max="267" width="1.33203125" style="87" customWidth="1"/>
    <col min="268" max="268" width="14.77734375" style="87" customWidth="1"/>
    <col min="269" max="269" width="1.33203125" style="87" customWidth="1"/>
    <col min="270" max="270" width="13.5546875" style="87" customWidth="1"/>
    <col min="271" max="271" width="4.77734375" style="87" customWidth="1"/>
    <col min="272" max="278" width="15.77734375" style="87" customWidth="1"/>
    <col min="279" max="512" width="10.88671875" style="87"/>
    <col min="513" max="516" width="2.33203125" style="87" customWidth="1"/>
    <col min="517" max="517" width="36.5546875" style="87" customWidth="1"/>
    <col min="518" max="518" width="15.44140625" style="87" bestFit="1" customWidth="1"/>
    <col min="519" max="519" width="1.33203125" style="87" customWidth="1"/>
    <col min="520" max="520" width="15.44140625" style="87" bestFit="1" customWidth="1"/>
    <col min="521" max="521" width="1.33203125" style="87" customWidth="1"/>
    <col min="522" max="522" width="15.44140625" style="87" bestFit="1" customWidth="1"/>
    <col min="523" max="523" width="1.33203125" style="87" customWidth="1"/>
    <col min="524" max="524" width="14.77734375" style="87" customWidth="1"/>
    <col min="525" max="525" width="1.33203125" style="87" customWidth="1"/>
    <col min="526" max="526" width="13.5546875" style="87" customWidth="1"/>
    <col min="527" max="527" width="4.77734375" style="87" customWidth="1"/>
    <col min="528" max="534" width="15.77734375" style="87" customWidth="1"/>
    <col min="535" max="768" width="10.88671875" style="87"/>
    <col min="769" max="772" width="2.33203125" style="87" customWidth="1"/>
    <col min="773" max="773" width="36.5546875" style="87" customWidth="1"/>
    <col min="774" max="774" width="15.44140625" style="87" bestFit="1" customWidth="1"/>
    <col min="775" max="775" width="1.33203125" style="87" customWidth="1"/>
    <col min="776" max="776" width="15.44140625" style="87" bestFit="1" customWidth="1"/>
    <col min="777" max="777" width="1.33203125" style="87" customWidth="1"/>
    <col min="778" max="778" width="15.44140625" style="87" bestFit="1" customWidth="1"/>
    <col min="779" max="779" width="1.33203125" style="87" customWidth="1"/>
    <col min="780" max="780" width="14.77734375" style="87" customWidth="1"/>
    <col min="781" max="781" width="1.33203125" style="87" customWidth="1"/>
    <col min="782" max="782" width="13.5546875" style="87" customWidth="1"/>
    <col min="783" max="783" width="4.77734375" style="87" customWidth="1"/>
    <col min="784" max="790" width="15.77734375" style="87" customWidth="1"/>
    <col min="791" max="1024" width="10.88671875" style="87"/>
    <col min="1025" max="1028" width="2.33203125" style="87" customWidth="1"/>
    <col min="1029" max="1029" width="36.5546875" style="87" customWidth="1"/>
    <col min="1030" max="1030" width="15.44140625" style="87" bestFit="1" customWidth="1"/>
    <col min="1031" max="1031" width="1.33203125" style="87" customWidth="1"/>
    <col min="1032" max="1032" width="15.44140625" style="87" bestFit="1" customWidth="1"/>
    <col min="1033" max="1033" width="1.33203125" style="87" customWidth="1"/>
    <col min="1034" max="1034" width="15.44140625" style="87" bestFit="1" customWidth="1"/>
    <col min="1035" max="1035" width="1.33203125" style="87" customWidth="1"/>
    <col min="1036" max="1036" width="14.77734375" style="87" customWidth="1"/>
    <col min="1037" max="1037" width="1.33203125" style="87" customWidth="1"/>
    <col min="1038" max="1038" width="13.5546875" style="87" customWidth="1"/>
    <col min="1039" max="1039" width="4.77734375" style="87" customWidth="1"/>
    <col min="1040" max="1046" width="15.77734375" style="87" customWidth="1"/>
    <col min="1047" max="1280" width="10.88671875" style="87"/>
    <col min="1281" max="1284" width="2.33203125" style="87" customWidth="1"/>
    <col min="1285" max="1285" width="36.5546875" style="87" customWidth="1"/>
    <col min="1286" max="1286" width="15.44140625" style="87" bestFit="1" customWidth="1"/>
    <col min="1287" max="1287" width="1.33203125" style="87" customWidth="1"/>
    <col min="1288" max="1288" width="15.44140625" style="87" bestFit="1" customWidth="1"/>
    <col min="1289" max="1289" width="1.33203125" style="87" customWidth="1"/>
    <col min="1290" max="1290" width="15.44140625" style="87" bestFit="1" customWidth="1"/>
    <col min="1291" max="1291" width="1.33203125" style="87" customWidth="1"/>
    <col min="1292" max="1292" width="14.77734375" style="87" customWidth="1"/>
    <col min="1293" max="1293" width="1.33203125" style="87" customWidth="1"/>
    <col min="1294" max="1294" width="13.5546875" style="87" customWidth="1"/>
    <col min="1295" max="1295" width="4.77734375" style="87" customWidth="1"/>
    <col min="1296" max="1302" width="15.77734375" style="87" customWidth="1"/>
    <col min="1303" max="1536" width="10.88671875" style="87"/>
    <col min="1537" max="1540" width="2.33203125" style="87" customWidth="1"/>
    <col min="1541" max="1541" width="36.5546875" style="87" customWidth="1"/>
    <col min="1542" max="1542" width="15.44140625" style="87" bestFit="1" customWidth="1"/>
    <col min="1543" max="1543" width="1.33203125" style="87" customWidth="1"/>
    <col min="1544" max="1544" width="15.44140625" style="87" bestFit="1" customWidth="1"/>
    <col min="1545" max="1545" width="1.33203125" style="87" customWidth="1"/>
    <col min="1546" max="1546" width="15.44140625" style="87" bestFit="1" customWidth="1"/>
    <col min="1547" max="1547" width="1.33203125" style="87" customWidth="1"/>
    <col min="1548" max="1548" width="14.77734375" style="87" customWidth="1"/>
    <col min="1549" max="1549" width="1.33203125" style="87" customWidth="1"/>
    <col min="1550" max="1550" width="13.5546875" style="87" customWidth="1"/>
    <col min="1551" max="1551" width="4.77734375" style="87" customWidth="1"/>
    <col min="1552" max="1558" width="15.77734375" style="87" customWidth="1"/>
    <col min="1559" max="1792" width="10.88671875" style="87"/>
    <col min="1793" max="1796" width="2.33203125" style="87" customWidth="1"/>
    <col min="1797" max="1797" width="36.5546875" style="87" customWidth="1"/>
    <col min="1798" max="1798" width="15.44140625" style="87" bestFit="1" customWidth="1"/>
    <col min="1799" max="1799" width="1.33203125" style="87" customWidth="1"/>
    <col min="1800" max="1800" width="15.44140625" style="87" bestFit="1" customWidth="1"/>
    <col min="1801" max="1801" width="1.33203125" style="87" customWidth="1"/>
    <col min="1802" max="1802" width="15.44140625" style="87" bestFit="1" customWidth="1"/>
    <col min="1803" max="1803" width="1.33203125" style="87" customWidth="1"/>
    <col min="1804" max="1804" width="14.77734375" style="87" customWidth="1"/>
    <col min="1805" max="1805" width="1.33203125" style="87" customWidth="1"/>
    <col min="1806" max="1806" width="13.5546875" style="87" customWidth="1"/>
    <col min="1807" max="1807" width="4.77734375" style="87" customWidth="1"/>
    <col min="1808" max="1814" width="15.77734375" style="87" customWidth="1"/>
    <col min="1815" max="2048" width="10.88671875" style="87"/>
    <col min="2049" max="2052" width="2.33203125" style="87" customWidth="1"/>
    <col min="2053" max="2053" width="36.5546875" style="87" customWidth="1"/>
    <col min="2054" max="2054" width="15.44140625" style="87" bestFit="1" customWidth="1"/>
    <col min="2055" max="2055" width="1.33203125" style="87" customWidth="1"/>
    <col min="2056" max="2056" width="15.44140625" style="87" bestFit="1" customWidth="1"/>
    <col min="2057" max="2057" width="1.33203125" style="87" customWidth="1"/>
    <col min="2058" max="2058" width="15.44140625" style="87" bestFit="1" customWidth="1"/>
    <col min="2059" max="2059" width="1.33203125" style="87" customWidth="1"/>
    <col min="2060" max="2060" width="14.77734375" style="87" customWidth="1"/>
    <col min="2061" max="2061" width="1.33203125" style="87" customWidth="1"/>
    <col min="2062" max="2062" width="13.5546875" style="87" customWidth="1"/>
    <col min="2063" max="2063" width="4.77734375" style="87" customWidth="1"/>
    <col min="2064" max="2070" width="15.77734375" style="87" customWidth="1"/>
    <col min="2071" max="2304" width="10.88671875" style="87"/>
    <col min="2305" max="2308" width="2.33203125" style="87" customWidth="1"/>
    <col min="2309" max="2309" width="36.5546875" style="87" customWidth="1"/>
    <col min="2310" max="2310" width="15.44140625" style="87" bestFit="1" customWidth="1"/>
    <col min="2311" max="2311" width="1.33203125" style="87" customWidth="1"/>
    <col min="2312" max="2312" width="15.44140625" style="87" bestFit="1" customWidth="1"/>
    <col min="2313" max="2313" width="1.33203125" style="87" customWidth="1"/>
    <col min="2314" max="2314" width="15.44140625" style="87" bestFit="1" customWidth="1"/>
    <col min="2315" max="2315" width="1.33203125" style="87" customWidth="1"/>
    <col min="2316" max="2316" width="14.77734375" style="87" customWidth="1"/>
    <col min="2317" max="2317" width="1.33203125" style="87" customWidth="1"/>
    <col min="2318" max="2318" width="13.5546875" style="87" customWidth="1"/>
    <col min="2319" max="2319" width="4.77734375" style="87" customWidth="1"/>
    <col min="2320" max="2326" width="15.77734375" style="87" customWidth="1"/>
    <col min="2327" max="2560" width="10.88671875" style="87"/>
    <col min="2561" max="2564" width="2.33203125" style="87" customWidth="1"/>
    <col min="2565" max="2565" width="36.5546875" style="87" customWidth="1"/>
    <col min="2566" max="2566" width="15.44140625" style="87" bestFit="1" customWidth="1"/>
    <col min="2567" max="2567" width="1.33203125" style="87" customWidth="1"/>
    <col min="2568" max="2568" width="15.44140625" style="87" bestFit="1" customWidth="1"/>
    <col min="2569" max="2569" width="1.33203125" style="87" customWidth="1"/>
    <col min="2570" max="2570" width="15.44140625" style="87" bestFit="1" customWidth="1"/>
    <col min="2571" max="2571" width="1.33203125" style="87" customWidth="1"/>
    <col min="2572" max="2572" width="14.77734375" style="87" customWidth="1"/>
    <col min="2573" max="2573" width="1.33203125" style="87" customWidth="1"/>
    <col min="2574" max="2574" width="13.5546875" style="87" customWidth="1"/>
    <col min="2575" max="2575" width="4.77734375" style="87" customWidth="1"/>
    <col min="2576" max="2582" width="15.77734375" style="87" customWidth="1"/>
    <col min="2583" max="2816" width="10.88671875" style="87"/>
    <col min="2817" max="2820" width="2.33203125" style="87" customWidth="1"/>
    <col min="2821" max="2821" width="36.5546875" style="87" customWidth="1"/>
    <col min="2822" max="2822" width="15.44140625" style="87" bestFit="1" customWidth="1"/>
    <col min="2823" max="2823" width="1.33203125" style="87" customWidth="1"/>
    <col min="2824" max="2824" width="15.44140625" style="87" bestFit="1" customWidth="1"/>
    <col min="2825" max="2825" width="1.33203125" style="87" customWidth="1"/>
    <col min="2826" max="2826" width="15.44140625" style="87" bestFit="1" customWidth="1"/>
    <col min="2827" max="2827" width="1.33203125" style="87" customWidth="1"/>
    <col min="2828" max="2828" width="14.77734375" style="87" customWidth="1"/>
    <col min="2829" max="2829" width="1.33203125" style="87" customWidth="1"/>
    <col min="2830" max="2830" width="13.5546875" style="87" customWidth="1"/>
    <col min="2831" max="2831" width="4.77734375" style="87" customWidth="1"/>
    <col min="2832" max="2838" width="15.77734375" style="87" customWidth="1"/>
    <col min="2839" max="3072" width="10.88671875" style="87"/>
    <col min="3073" max="3076" width="2.33203125" style="87" customWidth="1"/>
    <col min="3077" max="3077" width="36.5546875" style="87" customWidth="1"/>
    <col min="3078" max="3078" width="15.44140625" style="87" bestFit="1" customWidth="1"/>
    <col min="3079" max="3079" width="1.33203125" style="87" customWidth="1"/>
    <col min="3080" max="3080" width="15.44140625" style="87" bestFit="1" customWidth="1"/>
    <col min="3081" max="3081" width="1.33203125" style="87" customWidth="1"/>
    <col min="3082" max="3082" width="15.44140625" style="87" bestFit="1" customWidth="1"/>
    <col min="3083" max="3083" width="1.33203125" style="87" customWidth="1"/>
    <col min="3084" max="3084" width="14.77734375" style="87" customWidth="1"/>
    <col min="3085" max="3085" width="1.33203125" style="87" customWidth="1"/>
    <col min="3086" max="3086" width="13.5546875" style="87" customWidth="1"/>
    <col min="3087" max="3087" width="4.77734375" style="87" customWidth="1"/>
    <col min="3088" max="3094" width="15.77734375" style="87" customWidth="1"/>
    <col min="3095" max="3328" width="10.88671875" style="87"/>
    <col min="3329" max="3332" width="2.33203125" style="87" customWidth="1"/>
    <col min="3333" max="3333" width="36.5546875" style="87" customWidth="1"/>
    <col min="3334" max="3334" width="15.44140625" style="87" bestFit="1" customWidth="1"/>
    <col min="3335" max="3335" width="1.33203125" style="87" customWidth="1"/>
    <col min="3336" max="3336" width="15.44140625" style="87" bestFit="1" customWidth="1"/>
    <col min="3337" max="3337" width="1.33203125" style="87" customWidth="1"/>
    <col min="3338" max="3338" width="15.44140625" style="87" bestFit="1" customWidth="1"/>
    <col min="3339" max="3339" width="1.33203125" style="87" customWidth="1"/>
    <col min="3340" max="3340" width="14.77734375" style="87" customWidth="1"/>
    <col min="3341" max="3341" width="1.33203125" style="87" customWidth="1"/>
    <col min="3342" max="3342" width="13.5546875" style="87" customWidth="1"/>
    <col min="3343" max="3343" width="4.77734375" style="87" customWidth="1"/>
    <col min="3344" max="3350" width="15.77734375" style="87" customWidth="1"/>
    <col min="3351" max="3584" width="10.88671875" style="87"/>
    <col min="3585" max="3588" width="2.33203125" style="87" customWidth="1"/>
    <col min="3589" max="3589" width="36.5546875" style="87" customWidth="1"/>
    <col min="3590" max="3590" width="15.44140625" style="87" bestFit="1" customWidth="1"/>
    <col min="3591" max="3591" width="1.33203125" style="87" customWidth="1"/>
    <col min="3592" max="3592" width="15.44140625" style="87" bestFit="1" customWidth="1"/>
    <col min="3593" max="3593" width="1.33203125" style="87" customWidth="1"/>
    <col min="3594" max="3594" width="15.44140625" style="87" bestFit="1" customWidth="1"/>
    <col min="3595" max="3595" width="1.33203125" style="87" customWidth="1"/>
    <col min="3596" max="3596" width="14.77734375" style="87" customWidth="1"/>
    <col min="3597" max="3597" width="1.33203125" style="87" customWidth="1"/>
    <col min="3598" max="3598" width="13.5546875" style="87" customWidth="1"/>
    <col min="3599" max="3599" width="4.77734375" style="87" customWidth="1"/>
    <col min="3600" max="3606" width="15.77734375" style="87" customWidth="1"/>
    <col min="3607" max="3840" width="10.88671875" style="87"/>
    <col min="3841" max="3844" width="2.33203125" style="87" customWidth="1"/>
    <col min="3845" max="3845" width="36.5546875" style="87" customWidth="1"/>
    <col min="3846" max="3846" width="15.44140625" style="87" bestFit="1" customWidth="1"/>
    <col min="3847" max="3847" width="1.33203125" style="87" customWidth="1"/>
    <col min="3848" max="3848" width="15.44140625" style="87" bestFit="1" customWidth="1"/>
    <col min="3849" max="3849" width="1.33203125" style="87" customWidth="1"/>
    <col min="3850" max="3850" width="15.44140625" style="87" bestFit="1" customWidth="1"/>
    <col min="3851" max="3851" width="1.33203125" style="87" customWidth="1"/>
    <col min="3852" max="3852" width="14.77734375" style="87" customWidth="1"/>
    <col min="3853" max="3853" width="1.33203125" style="87" customWidth="1"/>
    <col min="3854" max="3854" width="13.5546875" style="87" customWidth="1"/>
    <col min="3855" max="3855" width="4.77734375" style="87" customWidth="1"/>
    <col min="3856" max="3862" width="15.77734375" style="87" customWidth="1"/>
    <col min="3863" max="4096" width="10.88671875" style="87"/>
    <col min="4097" max="4100" width="2.33203125" style="87" customWidth="1"/>
    <col min="4101" max="4101" width="36.5546875" style="87" customWidth="1"/>
    <col min="4102" max="4102" width="15.44140625" style="87" bestFit="1" customWidth="1"/>
    <col min="4103" max="4103" width="1.33203125" style="87" customWidth="1"/>
    <col min="4104" max="4104" width="15.44140625" style="87" bestFit="1" customWidth="1"/>
    <col min="4105" max="4105" width="1.33203125" style="87" customWidth="1"/>
    <col min="4106" max="4106" width="15.44140625" style="87" bestFit="1" customWidth="1"/>
    <col min="4107" max="4107" width="1.33203125" style="87" customWidth="1"/>
    <col min="4108" max="4108" width="14.77734375" style="87" customWidth="1"/>
    <col min="4109" max="4109" width="1.33203125" style="87" customWidth="1"/>
    <col min="4110" max="4110" width="13.5546875" style="87" customWidth="1"/>
    <col min="4111" max="4111" width="4.77734375" style="87" customWidth="1"/>
    <col min="4112" max="4118" width="15.77734375" style="87" customWidth="1"/>
    <col min="4119" max="4352" width="10.88671875" style="87"/>
    <col min="4353" max="4356" width="2.33203125" style="87" customWidth="1"/>
    <col min="4357" max="4357" width="36.5546875" style="87" customWidth="1"/>
    <col min="4358" max="4358" width="15.44140625" style="87" bestFit="1" customWidth="1"/>
    <col min="4359" max="4359" width="1.33203125" style="87" customWidth="1"/>
    <col min="4360" max="4360" width="15.44140625" style="87" bestFit="1" customWidth="1"/>
    <col min="4361" max="4361" width="1.33203125" style="87" customWidth="1"/>
    <col min="4362" max="4362" width="15.44140625" style="87" bestFit="1" customWidth="1"/>
    <col min="4363" max="4363" width="1.33203125" style="87" customWidth="1"/>
    <col min="4364" max="4364" width="14.77734375" style="87" customWidth="1"/>
    <col min="4365" max="4365" width="1.33203125" style="87" customWidth="1"/>
    <col min="4366" max="4366" width="13.5546875" style="87" customWidth="1"/>
    <col min="4367" max="4367" width="4.77734375" style="87" customWidth="1"/>
    <col min="4368" max="4374" width="15.77734375" style="87" customWidth="1"/>
    <col min="4375" max="4608" width="10.88671875" style="87"/>
    <col min="4609" max="4612" width="2.33203125" style="87" customWidth="1"/>
    <col min="4613" max="4613" width="36.5546875" style="87" customWidth="1"/>
    <col min="4614" max="4614" width="15.44140625" style="87" bestFit="1" customWidth="1"/>
    <col min="4615" max="4615" width="1.33203125" style="87" customWidth="1"/>
    <col min="4616" max="4616" width="15.44140625" style="87" bestFit="1" customWidth="1"/>
    <col min="4617" max="4617" width="1.33203125" style="87" customWidth="1"/>
    <col min="4618" max="4618" width="15.44140625" style="87" bestFit="1" customWidth="1"/>
    <col min="4619" max="4619" width="1.33203125" style="87" customWidth="1"/>
    <col min="4620" max="4620" width="14.77734375" style="87" customWidth="1"/>
    <col min="4621" max="4621" width="1.33203125" style="87" customWidth="1"/>
    <col min="4622" max="4622" width="13.5546875" style="87" customWidth="1"/>
    <col min="4623" max="4623" width="4.77734375" style="87" customWidth="1"/>
    <col min="4624" max="4630" width="15.77734375" style="87" customWidth="1"/>
    <col min="4631" max="4864" width="10.88671875" style="87"/>
    <col min="4865" max="4868" width="2.33203125" style="87" customWidth="1"/>
    <col min="4869" max="4869" width="36.5546875" style="87" customWidth="1"/>
    <col min="4870" max="4870" width="15.44140625" style="87" bestFit="1" customWidth="1"/>
    <col min="4871" max="4871" width="1.33203125" style="87" customWidth="1"/>
    <col min="4872" max="4872" width="15.44140625" style="87" bestFit="1" customWidth="1"/>
    <col min="4873" max="4873" width="1.33203125" style="87" customWidth="1"/>
    <col min="4874" max="4874" width="15.44140625" style="87" bestFit="1" customWidth="1"/>
    <col min="4875" max="4875" width="1.33203125" style="87" customWidth="1"/>
    <col min="4876" max="4876" width="14.77734375" style="87" customWidth="1"/>
    <col min="4877" max="4877" width="1.33203125" style="87" customWidth="1"/>
    <col min="4878" max="4878" width="13.5546875" style="87" customWidth="1"/>
    <col min="4879" max="4879" width="4.77734375" style="87" customWidth="1"/>
    <col min="4880" max="4886" width="15.77734375" style="87" customWidth="1"/>
    <col min="4887" max="5120" width="10.88671875" style="87"/>
    <col min="5121" max="5124" width="2.33203125" style="87" customWidth="1"/>
    <col min="5125" max="5125" width="36.5546875" style="87" customWidth="1"/>
    <col min="5126" max="5126" width="15.44140625" style="87" bestFit="1" customWidth="1"/>
    <col min="5127" max="5127" width="1.33203125" style="87" customWidth="1"/>
    <col min="5128" max="5128" width="15.44140625" style="87" bestFit="1" customWidth="1"/>
    <col min="5129" max="5129" width="1.33203125" style="87" customWidth="1"/>
    <col min="5130" max="5130" width="15.44140625" style="87" bestFit="1" customWidth="1"/>
    <col min="5131" max="5131" width="1.33203125" style="87" customWidth="1"/>
    <col min="5132" max="5132" width="14.77734375" style="87" customWidth="1"/>
    <col min="5133" max="5133" width="1.33203125" style="87" customWidth="1"/>
    <col min="5134" max="5134" width="13.5546875" style="87" customWidth="1"/>
    <col min="5135" max="5135" width="4.77734375" style="87" customWidth="1"/>
    <col min="5136" max="5142" width="15.77734375" style="87" customWidth="1"/>
    <col min="5143" max="5376" width="10.88671875" style="87"/>
    <col min="5377" max="5380" width="2.33203125" style="87" customWidth="1"/>
    <col min="5381" max="5381" width="36.5546875" style="87" customWidth="1"/>
    <col min="5382" max="5382" width="15.44140625" style="87" bestFit="1" customWidth="1"/>
    <col min="5383" max="5383" width="1.33203125" style="87" customWidth="1"/>
    <col min="5384" max="5384" width="15.44140625" style="87" bestFit="1" customWidth="1"/>
    <col min="5385" max="5385" width="1.33203125" style="87" customWidth="1"/>
    <col min="5386" max="5386" width="15.44140625" style="87" bestFit="1" customWidth="1"/>
    <col min="5387" max="5387" width="1.33203125" style="87" customWidth="1"/>
    <col min="5388" max="5388" width="14.77734375" style="87" customWidth="1"/>
    <col min="5389" max="5389" width="1.33203125" style="87" customWidth="1"/>
    <col min="5390" max="5390" width="13.5546875" style="87" customWidth="1"/>
    <col min="5391" max="5391" width="4.77734375" style="87" customWidth="1"/>
    <col min="5392" max="5398" width="15.77734375" style="87" customWidth="1"/>
    <col min="5399" max="5632" width="10.88671875" style="87"/>
    <col min="5633" max="5636" width="2.33203125" style="87" customWidth="1"/>
    <col min="5637" max="5637" width="36.5546875" style="87" customWidth="1"/>
    <col min="5638" max="5638" width="15.44140625" style="87" bestFit="1" customWidth="1"/>
    <col min="5639" max="5639" width="1.33203125" style="87" customWidth="1"/>
    <col min="5640" max="5640" width="15.44140625" style="87" bestFit="1" customWidth="1"/>
    <col min="5641" max="5641" width="1.33203125" style="87" customWidth="1"/>
    <col min="5642" max="5642" width="15.44140625" style="87" bestFit="1" customWidth="1"/>
    <col min="5643" max="5643" width="1.33203125" style="87" customWidth="1"/>
    <col min="5644" max="5644" width="14.77734375" style="87" customWidth="1"/>
    <col min="5645" max="5645" width="1.33203125" style="87" customWidth="1"/>
    <col min="5646" max="5646" width="13.5546875" style="87" customWidth="1"/>
    <col min="5647" max="5647" width="4.77734375" style="87" customWidth="1"/>
    <col min="5648" max="5654" width="15.77734375" style="87" customWidth="1"/>
    <col min="5655" max="5888" width="10.88671875" style="87"/>
    <col min="5889" max="5892" width="2.33203125" style="87" customWidth="1"/>
    <col min="5893" max="5893" width="36.5546875" style="87" customWidth="1"/>
    <col min="5894" max="5894" width="15.44140625" style="87" bestFit="1" customWidth="1"/>
    <col min="5895" max="5895" width="1.33203125" style="87" customWidth="1"/>
    <col min="5896" max="5896" width="15.44140625" style="87" bestFit="1" customWidth="1"/>
    <col min="5897" max="5897" width="1.33203125" style="87" customWidth="1"/>
    <col min="5898" max="5898" width="15.44140625" style="87" bestFit="1" customWidth="1"/>
    <col min="5899" max="5899" width="1.33203125" style="87" customWidth="1"/>
    <col min="5900" max="5900" width="14.77734375" style="87" customWidth="1"/>
    <col min="5901" max="5901" width="1.33203125" style="87" customWidth="1"/>
    <col min="5902" max="5902" width="13.5546875" style="87" customWidth="1"/>
    <col min="5903" max="5903" width="4.77734375" style="87" customWidth="1"/>
    <col min="5904" max="5910" width="15.77734375" style="87" customWidth="1"/>
    <col min="5911" max="6144" width="10.88671875" style="87"/>
    <col min="6145" max="6148" width="2.33203125" style="87" customWidth="1"/>
    <col min="6149" max="6149" width="36.5546875" style="87" customWidth="1"/>
    <col min="6150" max="6150" width="15.44140625" style="87" bestFit="1" customWidth="1"/>
    <col min="6151" max="6151" width="1.33203125" style="87" customWidth="1"/>
    <col min="6152" max="6152" width="15.44140625" style="87" bestFit="1" customWidth="1"/>
    <col min="6153" max="6153" width="1.33203125" style="87" customWidth="1"/>
    <col min="6154" max="6154" width="15.44140625" style="87" bestFit="1" customWidth="1"/>
    <col min="6155" max="6155" width="1.33203125" style="87" customWidth="1"/>
    <col min="6156" max="6156" width="14.77734375" style="87" customWidth="1"/>
    <col min="6157" max="6157" width="1.33203125" style="87" customWidth="1"/>
    <col min="6158" max="6158" width="13.5546875" style="87" customWidth="1"/>
    <col min="6159" max="6159" width="4.77734375" style="87" customWidth="1"/>
    <col min="6160" max="6166" width="15.77734375" style="87" customWidth="1"/>
    <col min="6167" max="6400" width="10.88671875" style="87"/>
    <col min="6401" max="6404" width="2.33203125" style="87" customWidth="1"/>
    <col min="6405" max="6405" width="36.5546875" style="87" customWidth="1"/>
    <col min="6406" max="6406" width="15.44140625" style="87" bestFit="1" customWidth="1"/>
    <col min="6407" max="6407" width="1.33203125" style="87" customWidth="1"/>
    <col min="6408" max="6408" width="15.44140625" style="87" bestFit="1" customWidth="1"/>
    <col min="6409" max="6409" width="1.33203125" style="87" customWidth="1"/>
    <col min="6410" max="6410" width="15.44140625" style="87" bestFit="1" customWidth="1"/>
    <col min="6411" max="6411" width="1.33203125" style="87" customWidth="1"/>
    <col min="6412" max="6412" width="14.77734375" style="87" customWidth="1"/>
    <col min="6413" max="6413" width="1.33203125" style="87" customWidth="1"/>
    <col min="6414" max="6414" width="13.5546875" style="87" customWidth="1"/>
    <col min="6415" max="6415" width="4.77734375" style="87" customWidth="1"/>
    <col min="6416" max="6422" width="15.77734375" style="87" customWidth="1"/>
    <col min="6423" max="6656" width="10.88671875" style="87"/>
    <col min="6657" max="6660" width="2.33203125" style="87" customWidth="1"/>
    <col min="6661" max="6661" width="36.5546875" style="87" customWidth="1"/>
    <col min="6662" max="6662" width="15.44140625" style="87" bestFit="1" customWidth="1"/>
    <col min="6663" max="6663" width="1.33203125" style="87" customWidth="1"/>
    <col min="6664" max="6664" width="15.44140625" style="87" bestFit="1" customWidth="1"/>
    <col min="6665" max="6665" width="1.33203125" style="87" customWidth="1"/>
    <col min="6666" max="6666" width="15.44140625" style="87" bestFit="1" customWidth="1"/>
    <col min="6667" max="6667" width="1.33203125" style="87" customWidth="1"/>
    <col min="6668" max="6668" width="14.77734375" style="87" customWidth="1"/>
    <col min="6669" max="6669" width="1.33203125" style="87" customWidth="1"/>
    <col min="6670" max="6670" width="13.5546875" style="87" customWidth="1"/>
    <col min="6671" max="6671" width="4.77734375" style="87" customWidth="1"/>
    <col min="6672" max="6678" width="15.77734375" style="87" customWidth="1"/>
    <col min="6679" max="6912" width="10.88671875" style="87"/>
    <col min="6913" max="6916" width="2.33203125" style="87" customWidth="1"/>
    <col min="6917" max="6917" width="36.5546875" style="87" customWidth="1"/>
    <col min="6918" max="6918" width="15.44140625" style="87" bestFit="1" customWidth="1"/>
    <col min="6919" max="6919" width="1.33203125" style="87" customWidth="1"/>
    <col min="6920" max="6920" width="15.44140625" style="87" bestFit="1" customWidth="1"/>
    <col min="6921" max="6921" width="1.33203125" style="87" customWidth="1"/>
    <col min="6922" max="6922" width="15.44140625" style="87" bestFit="1" customWidth="1"/>
    <col min="6923" max="6923" width="1.33203125" style="87" customWidth="1"/>
    <col min="6924" max="6924" width="14.77734375" style="87" customWidth="1"/>
    <col min="6925" max="6925" width="1.33203125" style="87" customWidth="1"/>
    <col min="6926" max="6926" width="13.5546875" style="87" customWidth="1"/>
    <col min="6927" max="6927" width="4.77734375" style="87" customWidth="1"/>
    <col min="6928" max="6934" width="15.77734375" style="87" customWidth="1"/>
    <col min="6935" max="7168" width="10.88671875" style="87"/>
    <col min="7169" max="7172" width="2.33203125" style="87" customWidth="1"/>
    <col min="7173" max="7173" width="36.5546875" style="87" customWidth="1"/>
    <col min="7174" max="7174" width="15.44140625" style="87" bestFit="1" customWidth="1"/>
    <col min="7175" max="7175" width="1.33203125" style="87" customWidth="1"/>
    <col min="7176" max="7176" width="15.44140625" style="87" bestFit="1" customWidth="1"/>
    <col min="7177" max="7177" width="1.33203125" style="87" customWidth="1"/>
    <col min="7178" max="7178" width="15.44140625" style="87" bestFit="1" customWidth="1"/>
    <col min="7179" max="7179" width="1.33203125" style="87" customWidth="1"/>
    <col min="7180" max="7180" width="14.77734375" style="87" customWidth="1"/>
    <col min="7181" max="7181" width="1.33203125" style="87" customWidth="1"/>
    <col min="7182" max="7182" width="13.5546875" style="87" customWidth="1"/>
    <col min="7183" max="7183" width="4.77734375" style="87" customWidth="1"/>
    <col min="7184" max="7190" width="15.77734375" style="87" customWidth="1"/>
    <col min="7191" max="7424" width="10.88671875" style="87"/>
    <col min="7425" max="7428" width="2.33203125" style="87" customWidth="1"/>
    <col min="7429" max="7429" width="36.5546875" style="87" customWidth="1"/>
    <col min="7430" max="7430" width="15.44140625" style="87" bestFit="1" customWidth="1"/>
    <col min="7431" max="7431" width="1.33203125" style="87" customWidth="1"/>
    <col min="7432" max="7432" width="15.44140625" style="87" bestFit="1" customWidth="1"/>
    <col min="7433" max="7433" width="1.33203125" style="87" customWidth="1"/>
    <col min="7434" max="7434" width="15.44140625" style="87" bestFit="1" customWidth="1"/>
    <col min="7435" max="7435" width="1.33203125" style="87" customWidth="1"/>
    <col min="7436" max="7436" width="14.77734375" style="87" customWidth="1"/>
    <col min="7437" max="7437" width="1.33203125" style="87" customWidth="1"/>
    <col min="7438" max="7438" width="13.5546875" style="87" customWidth="1"/>
    <col min="7439" max="7439" width="4.77734375" style="87" customWidth="1"/>
    <col min="7440" max="7446" width="15.77734375" style="87" customWidth="1"/>
    <col min="7447" max="7680" width="10.88671875" style="87"/>
    <col min="7681" max="7684" width="2.33203125" style="87" customWidth="1"/>
    <col min="7685" max="7685" width="36.5546875" style="87" customWidth="1"/>
    <col min="7686" max="7686" width="15.44140625" style="87" bestFit="1" customWidth="1"/>
    <col min="7687" max="7687" width="1.33203125" style="87" customWidth="1"/>
    <col min="7688" max="7688" width="15.44140625" style="87" bestFit="1" customWidth="1"/>
    <col min="7689" max="7689" width="1.33203125" style="87" customWidth="1"/>
    <col min="7690" max="7690" width="15.44140625" style="87" bestFit="1" customWidth="1"/>
    <col min="7691" max="7691" width="1.33203125" style="87" customWidth="1"/>
    <col min="7692" max="7692" width="14.77734375" style="87" customWidth="1"/>
    <col min="7693" max="7693" width="1.33203125" style="87" customWidth="1"/>
    <col min="7694" max="7694" width="13.5546875" style="87" customWidth="1"/>
    <col min="7695" max="7695" width="4.77734375" style="87" customWidth="1"/>
    <col min="7696" max="7702" width="15.77734375" style="87" customWidth="1"/>
    <col min="7703" max="7936" width="10.88671875" style="87"/>
    <col min="7937" max="7940" width="2.33203125" style="87" customWidth="1"/>
    <col min="7941" max="7941" width="36.5546875" style="87" customWidth="1"/>
    <col min="7942" max="7942" width="15.44140625" style="87" bestFit="1" customWidth="1"/>
    <col min="7943" max="7943" width="1.33203125" style="87" customWidth="1"/>
    <col min="7944" max="7944" width="15.44140625" style="87" bestFit="1" customWidth="1"/>
    <col min="7945" max="7945" width="1.33203125" style="87" customWidth="1"/>
    <col min="7946" max="7946" width="15.44140625" style="87" bestFit="1" customWidth="1"/>
    <col min="7947" max="7947" width="1.33203125" style="87" customWidth="1"/>
    <col min="7948" max="7948" width="14.77734375" style="87" customWidth="1"/>
    <col min="7949" max="7949" width="1.33203125" style="87" customWidth="1"/>
    <col min="7950" max="7950" width="13.5546875" style="87" customWidth="1"/>
    <col min="7951" max="7951" width="4.77734375" style="87" customWidth="1"/>
    <col min="7952" max="7958" width="15.77734375" style="87" customWidth="1"/>
    <col min="7959" max="8192" width="10.88671875" style="87"/>
    <col min="8193" max="8196" width="2.33203125" style="87" customWidth="1"/>
    <col min="8197" max="8197" width="36.5546875" style="87" customWidth="1"/>
    <col min="8198" max="8198" width="15.44140625" style="87" bestFit="1" customWidth="1"/>
    <col min="8199" max="8199" width="1.33203125" style="87" customWidth="1"/>
    <col min="8200" max="8200" width="15.44140625" style="87" bestFit="1" customWidth="1"/>
    <col min="8201" max="8201" width="1.33203125" style="87" customWidth="1"/>
    <col min="8202" max="8202" width="15.44140625" style="87" bestFit="1" customWidth="1"/>
    <col min="8203" max="8203" width="1.33203125" style="87" customWidth="1"/>
    <col min="8204" max="8204" width="14.77734375" style="87" customWidth="1"/>
    <col min="8205" max="8205" width="1.33203125" style="87" customWidth="1"/>
    <col min="8206" max="8206" width="13.5546875" style="87" customWidth="1"/>
    <col min="8207" max="8207" width="4.77734375" style="87" customWidth="1"/>
    <col min="8208" max="8214" width="15.77734375" style="87" customWidth="1"/>
    <col min="8215" max="8448" width="10.88671875" style="87"/>
    <col min="8449" max="8452" width="2.33203125" style="87" customWidth="1"/>
    <col min="8453" max="8453" width="36.5546875" style="87" customWidth="1"/>
    <col min="8454" max="8454" width="15.44140625" style="87" bestFit="1" customWidth="1"/>
    <col min="8455" max="8455" width="1.33203125" style="87" customWidth="1"/>
    <col min="8456" max="8456" width="15.44140625" style="87" bestFit="1" customWidth="1"/>
    <col min="8457" max="8457" width="1.33203125" style="87" customWidth="1"/>
    <col min="8458" max="8458" width="15.44140625" style="87" bestFit="1" customWidth="1"/>
    <col min="8459" max="8459" width="1.33203125" style="87" customWidth="1"/>
    <col min="8460" max="8460" width="14.77734375" style="87" customWidth="1"/>
    <col min="8461" max="8461" width="1.33203125" style="87" customWidth="1"/>
    <col min="8462" max="8462" width="13.5546875" style="87" customWidth="1"/>
    <col min="8463" max="8463" width="4.77734375" style="87" customWidth="1"/>
    <col min="8464" max="8470" width="15.77734375" style="87" customWidth="1"/>
    <col min="8471" max="8704" width="10.88671875" style="87"/>
    <col min="8705" max="8708" width="2.33203125" style="87" customWidth="1"/>
    <col min="8709" max="8709" width="36.5546875" style="87" customWidth="1"/>
    <col min="8710" max="8710" width="15.44140625" style="87" bestFit="1" customWidth="1"/>
    <col min="8711" max="8711" width="1.33203125" style="87" customWidth="1"/>
    <col min="8712" max="8712" width="15.44140625" style="87" bestFit="1" customWidth="1"/>
    <col min="8713" max="8713" width="1.33203125" style="87" customWidth="1"/>
    <col min="8714" max="8714" width="15.44140625" style="87" bestFit="1" customWidth="1"/>
    <col min="8715" max="8715" width="1.33203125" style="87" customWidth="1"/>
    <col min="8716" max="8716" width="14.77734375" style="87" customWidth="1"/>
    <col min="8717" max="8717" width="1.33203125" style="87" customWidth="1"/>
    <col min="8718" max="8718" width="13.5546875" style="87" customWidth="1"/>
    <col min="8719" max="8719" width="4.77734375" style="87" customWidth="1"/>
    <col min="8720" max="8726" width="15.77734375" style="87" customWidth="1"/>
    <col min="8727" max="8960" width="10.88671875" style="87"/>
    <col min="8961" max="8964" width="2.33203125" style="87" customWidth="1"/>
    <col min="8965" max="8965" width="36.5546875" style="87" customWidth="1"/>
    <col min="8966" max="8966" width="15.44140625" style="87" bestFit="1" customWidth="1"/>
    <col min="8967" max="8967" width="1.33203125" style="87" customWidth="1"/>
    <col min="8968" max="8968" width="15.44140625" style="87" bestFit="1" customWidth="1"/>
    <col min="8969" max="8969" width="1.33203125" style="87" customWidth="1"/>
    <col min="8970" max="8970" width="15.44140625" style="87" bestFit="1" customWidth="1"/>
    <col min="8971" max="8971" width="1.33203125" style="87" customWidth="1"/>
    <col min="8972" max="8972" width="14.77734375" style="87" customWidth="1"/>
    <col min="8973" max="8973" width="1.33203125" style="87" customWidth="1"/>
    <col min="8974" max="8974" width="13.5546875" style="87" customWidth="1"/>
    <col min="8975" max="8975" width="4.77734375" style="87" customWidth="1"/>
    <col min="8976" max="8982" width="15.77734375" style="87" customWidth="1"/>
    <col min="8983" max="9216" width="10.88671875" style="87"/>
    <col min="9217" max="9220" width="2.33203125" style="87" customWidth="1"/>
    <col min="9221" max="9221" width="36.5546875" style="87" customWidth="1"/>
    <col min="9222" max="9222" width="15.44140625" style="87" bestFit="1" customWidth="1"/>
    <col min="9223" max="9223" width="1.33203125" style="87" customWidth="1"/>
    <col min="9224" max="9224" width="15.44140625" style="87" bestFit="1" customWidth="1"/>
    <col min="9225" max="9225" width="1.33203125" style="87" customWidth="1"/>
    <col min="9226" max="9226" width="15.44140625" style="87" bestFit="1" customWidth="1"/>
    <col min="9227" max="9227" width="1.33203125" style="87" customWidth="1"/>
    <col min="9228" max="9228" width="14.77734375" style="87" customWidth="1"/>
    <col min="9229" max="9229" width="1.33203125" style="87" customWidth="1"/>
    <col min="9230" max="9230" width="13.5546875" style="87" customWidth="1"/>
    <col min="9231" max="9231" width="4.77734375" style="87" customWidth="1"/>
    <col min="9232" max="9238" width="15.77734375" style="87" customWidth="1"/>
    <col min="9239" max="9472" width="10.88671875" style="87"/>
    <col min="9473" max="9476" width="2.33203125" style="87" customWidth="1"/>
    <col min="9477" max="9477" width="36.5546875" style="87" customWidth="1"/>
    <col min="9478" max="9478" width="15.44140625" style="87" bestFit="1" customWidth="1"/>
    <col min="9479" max="9479" width="1.33203125" style="87" customWidth="1"/>
    <col min="9480" max="9480" width="15.44140625" style="87" bestFit="1" customWidth="1"/>
    <col min="9481" max="9481" width="1.33203125" style="87" customWidth="1"/>
    <col min="9482" max="9482" width="15.44140625" style="87" bestFit="1" customWidth="1"/>
    <col min="9483" max="9483" width="1.33203125" style="87" customWidth="1"/>
    <col min="9484" max="9484" width="14.77734375" style="87" customWidth="1"/>
    <col min="9485" max="9485" width="1.33203125" style="87" customWidth="1"/>
    <col min="9486" max="9486" width="13.5546875" style="87" customWidth="1"/>
    <col min="9487" max="9487" width="4.77734375" style="87" customWidth="1"/>
    <col min="9488" max="9494" width="15.77734375" style="87" customWidth="1"/>
    <col min="9495" max="9728" width="10.88671875" style="87"/>
    <col min="9729" max="9732" width="2.33203125" style="87" customWidth="1"/>
    <col min="9733" max="9733" width="36.5546875" style="87" customWidth="1"/>
    <col min="9734" max="9734" width="15.44140625" style="87" bestFit="1" customWidth="1"/>
    <col min="9735" max="9735" width="1.33203125" style="87" customWidth="1"/>
    <col min="9736" max="9736" width="15.44140625" style="87" bestFit="1" customWidth="1"/>
    <col min="9737" max="9737" width="1.33203125" style="87" customWidth="1"/>
    <col min="9738" max="9738" width="15.44140625" style="87" bestFit="1" customWidth="1"/>
    <col min="9739" max="9739" width="1.33203125" style="87" customWidth="1"/>
    <col min="9740" max="9740" width="14.77734375" style="87" customWidth="1"/>
    <col min="9741" max="9741" width="1.33203125" style="87" customWidth="1"/>
    <col min="9742" max="9742" width="13.5546875" style="87" customWidth="1"/>
    <col min="9743" max="9743" width="4.77734375" style="87" customWidth="1"/>
    <col min="9744" max="9750" width="15.77734375" style="87" customWidth="1"/>
    <col min="9751" max="9984" width="10.88671875" style="87"/>
    <col min="9985" max="9988" width="2.33203125" style="87" customWidth="1"/>
    <col min="9989" max="9989" width="36.5546875" style="87" customWidth="1"/>
    <col min="9990" max="9990" width="15.44140625" style="87" bestFit="1" customWidth="1"/>
    <col min="9991" max="9991" width="1.33203125" style="87" customWidth="1"/>
    <col min="9992" max="9992" width="15.44140625" style="87" bestFit="1" customWidth="1"/>
    <col min="9993" max="9993" width="1.33203125" style="87" customWidth="1"/>
    <col min="9994" max="9994" width="15.44140625" style="87" bestFit="1" customWidth="1"/>
    <col min="9995" max="9995" width="1.33203125" style="87" customWidth="1"/>
    <col min="9996" max="9996" width="14.77734375" style="87" customWidth="1"/>
    <col min="9997" max="9997" width="1.33203125" style="87" customWidth="1"/>
    <col min="9998" max="9998" width="13.5546875" style="87" customWidth="1"/>
    <col min="9999" max="9999" width="4.77734375" style="87" customWidth="1"/>
    <col min="10000" max="10006" width="15.77734375" style="87" customWidth="1"/>
    <col min="10007" max="10240" width="10.88671875" style="87"/>
    <col min="10241" max="10244" width="2.33203125" style="87" customWidth="1"/>
    <col min="10245" max="10245" width="36.5546875" style="87" customWidth="1"/>
    <col min="10246" max="10246" width="15.44140625" style="87" bestFit="1" customWidth="1"/>
    <col min="10247" max="10247" width="1.33203125" style="87" customWidth="1"/>
    <col min="10248" max="10248" width="15.44140625" style="87" bestFit="1" customWidth="1"/>
    <col min="10249" max="10249" width="1.33203125" style="87" customWidth="1"/>
    <col min="10250" max="10250" width="15.44140625" style="87" bestFit="1" customWidth="1"/>
    <col min="10251" max="10251" width="1.33203125" style="87" customWidth="1"/>
    <col min="10252" max="10252" width="14.77734375" style="87" customWidth="1"/>
    <col min="10253" max="10253" width="1.33203125" style="87" customWidth="1"/>
    <col min="10254" max="10254" width="13.5546875" style="87" customWidth="1"/>
    <col min="10255" max="10255" width="4.77734375" style="87" customWidth="1"/>
    <col min="10256" max="10262" width="15.77734375" style="87" customWidth="1"/>
    <col min="10263" max="10496" width="10.88671875" style="87"/>
    <col min="10497" max="10500" width="2.33203125" style="87" customWidth="1"/>
    <col min="10501" max="10501" width="36.5546875" style="87" customWidth="1"/>
    <col min="10502" max="10502" width="15.44140625" style="87" bestFit="1" customWidth="1"/>
    <col min="10503" max="10503" width="1.33203125" style="87" customWidth="1"/>
    <col min="10504" max="10504" width="15.44140625" style="87" bestFit="1" customWidth="1"/>
    <col min="10505" max="10505" width="1.33203125" style="87" customWidth="1"/>
    <col min="10506" max="10506" width="15.44140625" style="87" bestFit="1" customWidth="1"/>
    <col min="10507" max="10507" width="1.33203125" style="87" customWidth="1"/>
    <col min="10508" max="10508" width="14.77734375" style="87" customWidth="1"/>
    <col min="10509" max="10509" width="1.33203125" style="87" customWidth="1"/>
    <col min="10510" max="10510" width="13.5546875" style="87" customWidth="1"/>
    <col min="10511" max="10511" width="4.77734375" style="87" customWidth="1"/>
    <col min="10512" max="10518" width="15.77734375" style="87" customWidth="1"/>
    <col min="10519" max="10752" width="10.88671875" style="87"/>
    <col min="10753" max="10756" width="2.33203125" style="87" customWidth="1"/>
    <col min="10757" max="10757" width="36.5546875" style="87" customWidth="1"/>
    <col min="10758" max="10758" width="15.44140625" style="87" bestFit="1" customWidth="1"/>
    <col min="10759" max="10759" width="1.33203125" style="87" customWidth="1"/>
    <col min="10760" max="10760" width="15.44140625" style="87" bestFit="1" customWidth="1"/>
    <col min="10761" max="10761" width="1.33203125" style="87" customWidth="1"/>
    <col min="10762" max="10762" width="15.44140625" style="87" bestFit="1" customWidth="1"/>
    <col min="10763" max="10763" width="1.33203125" style="87" customWidth="1"/>
    <col min="10764" max="10764" width="14.77734375" style="87" customWidth="1"/>
    <col min="10765" max="10765" width="1.33203125" style="87" customWidth="1"/>
    <col min="10766" max="10766" width="13.5546875" style="87" customWidth="1"/>
    <col min="10767" max="10767" width="4.77734375" style="87" customWidth="1"/>
    <col min="10768" max="10774" width="15.77734375" style="87" customWidth="1"/>
    <col min="10775" max="11008" width="10.88671875" style="87"/>
    <col min="11009" max="11012" width="2.33203125" style="87" customWidth="1"/>
    <col min="11013" max="11013" width="36.5546875" style="87" customWidth="1"/>
    <col min="11014" max="11014" width="15.44140625" style="87" bestFit="1" customWidth="1"/>
    <col min="11015" max="11015" width="1.33203125" style="87" customWidth="1"/>
    <col min="11016" max="11016" width="15.44140625" style="87" bestFit="1" customWidth="1"/>
    <col min="11017" max="11017" width="1.33203125" style="87" customWidth="1"/>
    <col min="11018" max="11018" width="15.44140625" style="87" bestFit="1" customWidth="1"/>
    <col min="11019" max="11019" width="1.33203125" style="87" customWidth="1"/>
    <col min="11020" max="11020" width="14.77734375" style="87" customWidth="1"/>
    <col min="11021" max="11021" width="1.33203125" style="87" customWidth="1"/>
    <col min="11022" max="11022" width="13.5546875" style="87" customWidth="1"/>
    <col min="11023" max="11023" width="4.77734375" style="87" customWidth="1"/>
    <col min="11024" max="11030" width="15.77734375" style="87" customWidth="1"/>
    <col min="11031" max="11264" width="10.88671875" style="87"/>
    <col min="11265" max="11268" width="2.33203125" style="87" customWidth="1"/>
    <col min="11269" max="11269" width="36.5546875" style="87" customWidth="1"/>
    <col min="11270" max="11270" width="15.44140625" style="87" bestFit="1" customWidth="1"/>
    <col min="11271" max="11271" width="1.33203125" style="87" customWidth="1"/>
    <col min="11272" max="11272" width="15.44140625" style="87" bestFit="1" customWidth="1"/>
    <col min="11273" max="11273" width="1.33203125" style="87" customWidth="1"/>
    <col min="11274" max="11274" width="15.44140625" style="87" bestFit="1" customWidth="1"/>
    <col min="11275" max="11275" width="1.33203125" style="87" customWidth="1"/>
    <col min="11276" max="11276" width="14.77734375" style="87" customWidth="1"/>
    <col min="11277" max="11277" width="1.33203125" style="87" customWidth="1"/>
    <col min="11278" max="11278" width="13.5546875" style="87" customWidth="1"/>
    <col min="11279" max="11279" width="4.77734375" style="87" customWidth="1"/>
    <col min="11280" max="11286" width="15.77734375" style="87" customWidth="1"/>
    <col min="11287" max="11520" width="10.88671875" style="87"/>
    <col min="11521" max="11524" width="2.33203125" style="87" customWidth="1"/>
    <col min="11525" max="11525" width="36.5546875" style="87" customWidth="1"/>
    <col min="11526" max="11526" width="15.44140625" style="87" bestFit="1" customWidth="1"/>
    <col min="11527" max="11527" width="1.33203125" style="87" customWidth="1"/>
    <col min="11528" max="11528" width="15.44140625" style="87" bestFit="1" customWidth="1"/>
    <col min="11529" max="11529" width="1.33203125" style="87" customWidth="1"/>
    <col min="11530" max="11530" width="15.44140625" style="87" bestFit="1" customWidth="1"/>
    <col min="11531" max="11531" width="1.33203125" style="87" customWidth="1"/>
    <col min="11532" max="11532" width="14.77734375" style="87" customWidth="1"/>
    <col min="11533" max="11533" width="1.33203125" style="87" customWidth="1"/>
    <col min="11534" max="11534" width="13.5546875" style="87" customWidth="1"/>
    <col min="11535" max="11535" width="4.77734375" style="87" customWidth="1"/>
    <col min="11536" max="11542" width="15.77734375" style="87" customWidth="1"/>
    <col min="11543" max="11776" width="10.88671875" style="87"/>
    <col min="11777" max="11780" width="2.33203125" style="87" customWidth="1"/>
    <col min="11781" max="11781" width="36.5546875" style="87" customWidth="1"/>
    <col min="11782" max="11782" width="15.44140625" style="87" bestFit="1" customWidth="1"/>
    <col min="11783" max="11783" width="1.33203125" style="87" customWidth="1"/>
    <col min="11784" max="11784" width="15.44140625" style="87" bestFit="1" customWidth="1"/>
    <col min="11785" max="11785" width="1.33203125" style="87" customWidth="1"/>
    <col min="11786" max="11786" width="15.44140625" style="87" bestFit="1" customWidth="1"/>
    <col min="11787" max="11787" width="1.33203125" style="87" customWidth="1"/>
    <col min="11788" max="11788" width="14.77734375" style="87" customWidth="1"/>
    <col min="11789" max="11789" width="1.33203125" style="87" customWidth="1"/>
    <col min="11790" max="11790" width="13.5546875" style="87" customWidth="1"/>
    <col min="11791" max="11791" width="4.77734375" style="87" customWidth="1"/>
    <col min="11792" max="11798" width="15.77734375" style="87" customWidth="1"/>
    <col min="11799" max="12032" width="10.88671875" style="87"/>
    <col min="12033" max="12036" width="2.33203125" style="87" customWidth="1"/>
    <col min="12037" max="12037" width="36.5546875" style="87" customWidth="1"/>
    <col min="12038" max="12038" width="15.44140625" style="87" bestFit="1" customWidth="1"/>
    <col min="12039" max="12039" width="1.33203125" style="87" customWidth="1"/>
    <col min="12040" max="12040" width="15.44140625" style="87" bestFit="1" customWidth="1"/>
    <col min="12041" max="12041" width="1.33203125" style="87" customWidth="1"/>
    <col min="12042" max="12042" width="15.44140625" style="87" bestFit="1" customWidth="1"/>
    <col min="12043" max="12043" width="1.33203125" style="87" customWidth="1"/>
    <col min="12044" max="12044" width="14.77734375" style="87" customWidth="1"/>
    <col min="12045" max="12045" width="1.33203125" style="87" customWidth="1"/>
    <col min="12046" max="12046" width="13.5546875" style="87" customWidth="1"/>
    <col min="12047" max="12047" width="4.77734375" style="87" customWidth="1"/>
    <col min="12048" max="12054" width="15.77734375" style="87" customWidth="1"/>
    <col min="12055" max="12288" width="10.88671875" style="87"/>
    <col min="12289" max="12292" width="2.33203125" style="87" customWidth="1"/>
    <col min="12293" max="12293" width="36.5546875" style="87" customWidth="1"/>
    <col min="12294" max="12294" width="15.44140625" style="87" bestFit="1" customWidth="1"/>
    <col min="12295" max="12295" width="1.33203125" style="87" customWidth="1"/>
    <col min="12296" max="12296" width="15.44140625" style="87" bestFit="1" customWidth="1"/>
    <col min="12297" max="12297" width="1.33203125" style="87" customWidth="1"/>
    <col min="12298" max="12298" width="15.44140625" style="87" bestFit="1" customWidth="1"/>
    <col min="12299" max="12299" width="1.33203125" style="87" customWidth="1"/>
    <col min="12300" max="12300" width="14.77734375" style="87" customWidth="1"/>
    <col min="12301" max="12301" width="1.33203125" style="87" customWidth="1"/>
    <col min="12302" max="12302" width="13.5546875" style="87" customWidth="1"/>
    <col min="12303" max="12303" width="4.77734375" style="87" customWidth="1"/>
    <col min="12304" max="12310" width="15.77734375" style="87" customWidth="1"/>
    <col min="12311" max="12544" width="10.88671875" style="87"/>
    <col min="12545" max="12548" width="2.33203125" style="87" customWidth="1"/>
    <col min="12549" max="12549" width="36.5546875" style="87" customWidth="1"/>
    <col min="12550" max="12550" width="15.44140625" style="87" bestFit="1" customWidth="1"/>
    <col min="12551" max="12551" width="1.33203125" style="87" customWidth="1"/>
    <col min="12552" max="12552" width="15.44140625" style="87" bestFit="1" customWidth="1"/>
    <col min="12553" max="12553" width="1.33203125" style="87" customWidth="1"/>
    <col min="12554" max="12554" width="15.44140625" style="87" bestFit="1" customWidth="1"/>
    <col min="12555" max="12555" width="1.33203125" style="87" customWidth="1"/>
    <col min="12556" max="12556" width="14.77734375" style="87" customWidth="1"/>
    <col min="12557" max="12557" width="1.33203125" style="87" customWidth="1"/>
    <col min="12558" max="12558" width="13.5546875" style="87" customWidth="1"/>
    <col min="12559" max="12559" width="4.77734375" style="87" customWidth="1"/>
    <col min="12560" max="12566" width="15.77734375" style="87" customWidth="1"/>
    <col min="12567" max="12800" width="10.88671875" style="87"/>
    <col min="12801" max="12804" width="2.33203125" style="87" customWidth="1"/>
    <col min="12805" max="12805" width="36.5546875" style="87" customWidth="1"/>
    <col min="12806" max="12806" width="15.44140625" style="87" bestFit="1" customWidth="1"/>
    <col min="12807" max="12807" width="1.33203125" style="87" customWidth="1"/>
    <col min="12808" max="12808" width="15.44140625" style="87" bestFit="1" customWidth="1"/>
    <col min="12809" max="12809" width="1.33203125" style="87" customWidth="1"/>
    <col min="12810" max="12810" width="15.44140625" style="87" bestFit="1" customWidth="1"/>
    <col min="12811" max="12811" width="1.33203125" style="87" customWidth="1"/>
    <col min="12812" max="12812" width="14.77734375" style="87" customWidth="1"/>
    <col min="12813" max="12813" width="1.33203125" style="87" customWidth="1"/>
    <col min="12814" max="12814" width="13.5546875" style="87" customWidth="1"/>
    <col min="12815" max="12815" width="4.77734375" style="87" customWidth="1"/>
    <col min="12816" max="12822" width="15.77734375" style="87" customWidth="1"/>
    <col min="12823" max="13056" width="10.88671875" style="87"/>
    <col min="13057" max="13060" width="2.33203125" style="87" customWidth="1"/>
    <col min="13061" max="13061" width="36.5546875" style="87" customWidth="1"/>
    <col min="13062" max="13062" width="15.44140625" style="87" bestFit="1" customWidth="1"/>
    <col min="13063" max="13063" width="1.33203125" style="87" customWidth="1"/>
    <col min="13064" max="13064" width="15.44140625" style="87" bestFit="1" customWidth="1"/>
    <col min="13065" max="13065" width="1.33203125" style="87" customWidth="1"/>
    <col min="13066" max="13066" width="15.44140625" style="87" bestFit="1" customWidth="1"/>
    <col min="13067" max="13067" width="1.33203125" style="87" customWidth="1"/>
    <col min="13068" max="13068" width="14.77734375" style="87" customWidth="1"/>
    <col min="13069" max="13069" width="1.33203125" style="87" customWidth="1"/>
    <col min="13070" max="13070" width="13.5546875" style="87" customWidth="1"/>
    <col min="13071" max="13071" width="4.77734375" style="87" customWidth="1"/>
    <col min="13072" max="13078" width="15.77734375" style="87" customWidth="1"/>
    <col min="13079" max="13312" width="10.88671875" style="87"/>
    <col min="13313" max="13316" width="2.33203125" style="87" customWidth="1"/>
    <col min="13317" max="13317" width="36.5546875" style="87" customWidth="1"/>
    <col min="13318" max="13318" width="15.44140625" style="87" bestFit="1" customWidth="1"/>
    <col min="13319" max="13319" width="1.33203125" style="87" customWidth="1"/>
    <col min="13320" max="13320" width="15.44140625" style="87" bestFit="1" customWidth="1"/>
    <col min="13321" max="13321" width="1.33203125" style="87" customWidth="1"/>
    <col min="13322" max="13322" width="15.44140625" style="87" bestFit="1" customWidth="1"/>
    <col min="13323" max="13323" width="1.33203125" style="87" customWidth="1"/>
    <col min="13324" max="13324" width="14.77734375" style="87" customWidth="1"/>
    <col min="13325" max="13325" width="1.33203125" style="87" customWidth="1"/>
    <col min="13326" max="13326" width="13.5546875" style="87" customWidth="1"/>
    <col min="13327" max="13327" width="4.77734375" style="87" customWidth="1"/>
    <col min="13328" max="13334" width="15.77734375" style="87" customWidth="1"/>
    <col min="13335" max="13568" width="10.88671875" style="87"/>
    <col min="13569" max="13572" width="2.33203125" style="87" customWidth="1"/>
    <col min="13573" max="13573" width="36.5546875" style="87" customWidth="1"/>
    <col min="13574" max="13574" width="15.44140625" style="87" bestFit="1" customWidth="1"/>
    <col min="13575" max="13575" width="1.33203125" style="87" customWidth="1"/>
    <col min="13576" max="13576" width="15.44140625" style="87" bestFit="1" customWidth="1"/>
    <col min="13577" max="13577" width="1.33203125" style="87" customWidth="1"/>
    <col min="13578" max="13578" width="15.44140625" style="87" bestFit="1" customWidth="1"/>
    <col min="13579" max="13579" width="1.33203125" style="87" customWidth="1"/>
    <col min="13580" max="13580" width="14.77734375" style="87" customWidth="1"/>
    <col min="13581" max="13581" width="1.33203125" style="87" customWidth="1"/>
    <col min="13582" max="13582" width="13.5546875" style="87" customWidth="1"/>
    <col min="13583" max="13583" width="4.77734375" style="87" customWidth="1"/>
    <col min="13584" max="13590" width="15.77734375" style="87" customWidth="1"/>
    <col min="13591" max="13824" width="10.88671875" style="87"/>
    <col min="13825" max="13828" width="2.33203125" style="87" customWidth="1"/>
    <col min="13829" max="13829" width="36.5546875" style="87" customWidth="1"/>
    <col min="13830" max="13830" width="15.44140625" style="87" bestFit="1" customWidth="1"/>
    <col min="13831" max="13831" width="1.33203125" style="87" customWidth="1"/>
    <col min="13832" max="13832" width="15.44140625" style="87" bestFit="1" customWidth="1"/>
    <col min="13833" max="13833" width="1.33203125" style="87" customWidth="1"/>
    <col min="13834" max="13834" width="15.44140625" style="87" bestFit="1" customWidth="1"/>
    <col min="13835" max="13835" width="1.33203125" style="87" customWidth="1"/>
    <col min="13836" max="13836" width="14.77734375" style="87" customWidth="1"/>
    <col min="13837" max="13837" width="1.33203125" style="87" customWidth="1"/>
    <col min="13838" max="13838" width="13.5546875" style="87" customWidth="1"/>
    <col min="13839" max="13839" width="4.77734375" style="87" customWidth="1"/>
    <col min="13840" max="13846" width="15.77734375" style="87" customWidth="1"/>
    <col min="13847" max="14080" width="10.88671875" style="87"/>
    <col min="14081" max="14084" width="2.33203125" style="87" customWidth="1"/>
    <col min="14085" max="14085" width="36.5546875" style="87" customWidth="1"/>
    <col min="14086" max="14086" width="15.44140625" style="87" bestFit="1" customWidth="1"/>
    <col min="14087" max="14087" width="1.33203125" style="87" customWidth="1"/>
    <col min="14088" max="14088" width="15.44140625" style="87" bestFit="1" customWidth="1"/>
    <col min="14089" max="14089" width="1.33203125" style="87" customWidth="1"/>
    <col min="14090" max="14090" width="15.44140625" style="87" bestFit="1" customWidth="1"/>
    <col min="14091" max="14091" width="1.33203125" style="87" customWidth="1"/>
    <col min="14092" max="14092" width="14.77734375" style="87" customWidth="1"/>
    <col min="14093" max="14093" width="1.33203125" style="87" customWidth="1"/>
    <col min="14094" max="14094" width="13.5546875" style="87" customWidth="1"/>
    <col min="14095" max="14095" width="4.77734375" style="87" customWidth="1"/>
    <col min="14096" max="14102" width="15.77734375" style="87" customWidth="1"/>
    <col min="14103" max="14336" width="10.88671875" style="87"/>
    <col min="14337" max="14340" width="2.33203125" style="87" customWidth="1"/>
    <col min="14341" max="14341" width="36.5546875" style="87" customWidth="1"/>
    <col min="14342" max="14342" width="15.44140625" style="87" bestFit="1" customWidth="1"/>
    <col min="14343" max="14343" width="1.33203125" style="87" customWidth="1"/>
    <col min="14344" max="14344" width="15.44140625" style="87" bestFit="1" customWidth="1"/>
    <col min="14345" max="14345" width="1.33203125" style="87" customWidth="1"/>
    <col min="14346" max="14346" width="15.44140625" style="87" bestFit="1" customWidth="1"/>
    <col min="14347" max="14347" width="1.33203125" style="87" customWidth="1"/>
    <col min="14348" max="14348" width="14.77734375" style="87" customWidth="1"/>
    <col min="14349" max="14349" width="1.33203125" style="87" customWidth="1"/>
    <col min="14350" max="14350" width="13.5546875" style="87" customWidth="1"/>
    <col min="14351" max="14351" width="4.77734375" style="87" customWidth="1"/>
    <col min="14352" max="14358" width="15.77734375" style="87" customWidth="1"/>
    <col min="14359" max="14592" width="10.88671875" style="87"/>
    <col min="14593" max="14596" width="2.33203125" style="87" customWidth="1"/>
    <col min="14597" max="14597" width="36.5546875" style="87" customWidth="1"/>
    <col min="14598" max="14598" width="15.44140625" style="87" bestFit="1" customWidth="1"/>
    <col min="14599" max="14599" width="1.33203125" style="87" customWidth="1"/>
    <col min="14600" max="14600" width="15.44140625" style="87" bestFit="1" customWidth="1"/>
    <col min="14601" max="14601" width="1.33203125" style="87" customWidth="1"/>
    <col min="14602" max="14602" width="15.44140625" style="87" bestFit="1" customWidth="1"/>
    <col min="14603" max="14603" width="1.33203125" style="87" customWidth="1"/>
    <col min="14604" max="14604" width="14.77734375" style="87" customWidth="1"/>
    <col min="14605" max="14605" width="1.33203125" style="87" customWidth="1"/>
    <col min="14606" max="14606" width="13.5546875" style="87" customWidth="1"/>
    <col min="14607" max="14607" width="4.77734375" style="87" customWidth="1"/>
    <col min="14608" max="14614" width="15.77734375" style="87" customWidth="1"/>
    <col min="14615" max="14848" width="10.88671875" style="87"/>
    <col min="14849" max="14852" width="2.33203125" style="87" customWidth="1"/>
    <col min="14853" max="14853" width="36.5546875" style="87" customWidth="1"/>
    <col min="14854" max="14854" width="15.44140625" style="87" bestFit="1" customWidth="1"/>
    <col min="14855" max="14855" width="1.33203125" style="87" customWidth="1"/>
    <col min="14856" max="14856" width="15.44140625" style="87" bestFit="1" customWidth="1"/>
    <col min="14857" max="14857" width="1.33203125" style="87" customWidth="1"/>
    <col min="14858" max="14858" width="15.44140625" style="87" bestFit="1" customWidth="1"/>
    <col min="14859" max="14859" width="1.33203125" style="87" customWidth="1"/>
    <col min="14860" max="14860" width="14.77734375" style="87" customWidth="1"/>
    <col min="14861" max="14861" width="1.33203125" style="87" customWidth="1"/>
    <col min="14862" max="14862" width="13.5546875" style="87" customWidth="1"/>
    <col min="14863" max="14863" width="4.77734375" style="87" customWidth="1"/>
    <col min="14864" max="14870" width="15.77734375" style="87" customWidth="1"/>
    <col min="14871" max="15104" width="10.88671875" style="87"/>
    <col min="15105" max="15108" width="2.33203125" style="87" customWidth="1"/>
    <col min="15109" max="15109" width="36.5546875" style="87" customWidth="1"/>
    <col min="15110" max="15110" width="15.44140625" style="87" bestFit="1" customWidth="1"/>
    <col min="15111" max="15111" width="1.33203125" style="87" customWidth="1"/>
    <col min="15112" max="15112" width="15.44140625" style="87" bestFit="1" customWidth="1"/>
    <col min="15113" max="15113" width="1.33203125" style="87" customWidth="1"/>
    <col min="15114" max="15114" width="15.44140625" style="87" bestFit="1" customWidth="1"/>
    <col min="15115" max="15115" width="1.33203125" style="87" customWidth="1"/>
    <col min="15116" max="15116" width="14.77734375" style="87" customWidth="1"/>
    <col min="15117" max="15117" width="1.33203125" style="87" customWidth="1"/>
    <col min="15118" max="15118" width="13.5546875" style="87" customWidth="1"/>
    <col min="15119" max="15119" width="4.77734375" style="87" customWidth="1"/>
    <col min="15120" max="15126" width="15.77734375" style="87" customWidth="1"/>
    <col min="15127" max="15360" width="10.88671875" style="87"/>
    <col min="15361" max="15364" width="2.33203125" style="87" customWidth="1"/>
    <col min="15365" max="15365" width="36.5546875" style="87" customWidth="1"/>
    <col min="15366" max="15366" width="15.44140625" style="87" bestFit="1" customWidth="1"/>
    <col min="15367" max="15367" width="1.33203125" style="87" customWidth="1"/>
    <col min="15368" max="15368" width="15.44140625" style="87" bestFit="1" customWidth="1"/>
    <col min="15369" max="15369" width="1.33203125" style="87" customWidth="1"/>
    <col min="15370" max="15370" width="15.44140625" style="87" bestFit="1" customWidth="1"/>
    <col min="15371" max="15371" width="1.33203125" style="87" customWidth="1"/>
    <col min="15372" max="15372" width="14.77734375" style="87" customWidth="1"/>
    <col min="15373" max="15373" width="1.33203125" style="87" customWidth="1"/>
    <col min="15374" max="15374" width="13.5546875" style="87" customWidth="1"/>
    <col min="15375" max="15375" width="4.77734375" style="87" customWidth="1"/>
    <col min="15376" max="15382" width="15.77734375" style="87" customWidth="1"/>
    <col min="15383" max="15616" width="10.88671875" style="87"/>
    <col min="15617" max="15620" width="2.33203125" style="87" customWidth="1"/>
    <col min="15621" max="15621" width="36.5546875" style="87" customWidth="1"/>
    <col min="15622" max="15622" width="15.44140625" style="87" bestFit="1" customWidth="1"/>
    <col min="15623" max="15623" width="1.33203125" style="87" customWidth="1"/>
    <col min="15624" max="15624" width="15.44140625" style="87" bestFit="1" customWidth="1"/>
    <col min="15625" max="15625" width="1.33203125" style="87" customWidth="1"/>
    <col min="15626" max="15626" width="15.44140625" style="87" bestFit="1" customWidth="1"/>
    <col min="15627" max="15627" width="1.33203125" style="87" customWidth="1"/>
    <col min="15628" max="15628" width="14.77734375" style="87" customWidth="1"/>
    <col min="15629" max="15629" width="1.33203125" style="87" customWidth="1"/>
    <col min="15630" max="15630" width="13.5546875" style="87" customWidth="1"/>
    <col min="15631" max="15631" width="4.77734375" style="87" customWidth="1"/>
    <col min="15632" max="15638" width="15.77734375" style="87" customWidth="1"/>
    <col min="15639" max="15872" width="10.88671875" style="87"/>
    <col min="15873" max="15876" width="2.33203125" style="87" customWidth="1"/>
    <col min="15877" max="15877" width="36.5546875" style="87" customWidth="1"/>
    <col min="15878" max="15878" width="15.44140625" style="87" bestFit="1" customWidth="1"/>
    <col min="15879" max="15879" width="1.33203125" style="87" customWidth="1"/>
    <col min="15880" max="15880" width="15.44140625" style="87" bestFit="1" customWidth="1"/>
    <col min="15881" max="15881" width="1.33203125" style="87" customWidth="1"/>
    <col min="15882" max="15882" width="15.44140625" style="87" bestFit="1" customWidth="1"/>
    <col min="15883" max="15883" width="1.33203125" style="87" customWidth="1"/>
    <col min="15884" max="15884" width="14.77734375" style="87" customWidth="1"/>
    <col min="15885" max="15885" width="1.33203125" style="87" customWidth="1"/>
    <col min="15886" max="15886" width="13.5546875" style="87" customWidth="1"/>
    <col min="15887" max="15887" width="4.77734375" style="87" customWidth="1"/>
    <col min="15888" max="15894" width="15.77734375" style="87" customWidth="1"/>
    <col min="15895" max="16128" width="10.88671875" style="87"/>
    <col min="16129" max="16132" width="2.33203125" style="87" customWidth="1"/>
    <col min="16133" max="16133" width="36.5546875" style="87" customWidth="1"/>
    <col min="16134" max="16134" width="15.44140625" style="87" bestFit="1" customWidth="1"/>
    <col min="16135" max="16135" width="1.33203125" style="87" customWidth="1"/>
    <col min="16136" max="16136" width="15.44140625" style="87" bestFit="1" customWidth="1"/>
    <col min="16137" max="16137" width="1.33203125" style="87" customWidth="1"/>
    <col min="16138" max="16138" width="15.44140625" style="87" bestFit="1" customWidth="1"/>
    <col min="16139" max="16139" width="1.33203125" style="87" customWidth="1"/>
    <col min="16140" max="16140" width="14.77734375" style="87" customWidth="1"/>
    <col min="16141" max="16141" width="1.33203125" style="87" customWidth="1"/>
    <col min="16142" max="16142" width="13.5546875" style="87" customWidth="1"/>
    <col min="16143" max="16143" width="4.77734375" style="87" customWidth="1"/>
    <col min="16144" max="16150" width="15.77734375" style="87" customWidth="1"/>
    <col min="16151" max="16384" width="10.88671875" style="87"/>
  </cols>
  <sheetData>
    <row r="1" spans="1:34" ht="17.399999999999999" x14ac:dyDescent="0.3">
      <c r="A1" s="143" t="s">
        <v>924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84"/>
      <c r="P1" s="85"/>
      <c r="Q1" s="86"/>
      <c r="R1" s="86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</row>
    <row r="2" spans="1:34" ht="17.399999999999999" x14ac:dyDescent="0.3">
      <c r="A2" s="88"/>
      <c r="B2" s="89"/>
      <c r="C2" s="89"/>
      <c r="D2" s="89"/>
      <c r="E2" s="89"/>
      <c r="F2" s="89"/>
      <c r="G2" s="89"/>
      <c r="H2" s="89"/>
      <c r="I2" s="89"/>
      <c r="J2" s="90"/>
      <c r="K2" s="90"/>
      <c r="L2" s="90"/>
      <c r="M2" s="90"/>
      <c r="N2" s="90"/>
      <c r="O2" s="85"/>
      <c r="P2" s="85"/>
      <c r="Q2" s="86"/>
      <c r="R2" s="86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</row>
    <row r="3" spans="1:34" ht="17.399999999999999" x14ac:dyDescent="0.3">
      <c r="A3" s="143" t="s">
        <v>925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85"/>
      <c r="P3" s="85"/>
      <c r="Q3" s="86"/>
      <c r="R3" s="86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</row>
    <row r="4" spans="1:34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6"/>
      <c r="R4" s="86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</row>
    <row r="5" spans="1:34" x14ac:dyDescent="0.25">
      <c r="A5" s="85" t="s">
        <v>926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6"/>
      <c r="R5" s="86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</row>
    <row r="6" spans="1:34" x14ac:dyDescent="0.25">
      <c r="A6" s="85" t="s">
        <v>927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6"/>
      <c r="R6" s="86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</row>
    <row r="7" spans="1:34" x14ac:dyDescent="0.25">
      <c r="A7" s="85" t="s">
        <v>928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6"/>
      <c r="R7" s="86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</row>
    <row r="8" spans="1:34" x14ac:dyDescent="0.25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6"/>
      <c r="R8" s="86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</row>
    <row r="9" spans="1:34" x14ac:dyDescent="0.25">
      <c r="A9" s="85"/>
      <c r="B9" s="85"/>
      <c r="C9" s="85"/>
      <c r="D9" s="85"/>
      <c r="E9" s="85" t="s">
        <v>929</v>
      </c>
      <c r="F9" s="91"/>
      <c r="G9" s="91"/>
      <c r="H9" s="91"/>
      <c r="I9" s="91"/>
      <c r="J9" s="91"/>
      <c r="K9" s="91"/>
      <c r="L9" s="91"/>
      <c r="M9" s="91"/>
      <c r="N9" s="85"/>
      <c r="O9" s="85"/>
      <c r="P9" s="85"/>
      <c r="Q9" s="86"/>
      <c r="R9" s="86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</row>
    <row r="10" spans="1:34" x14ac:dyDescent="0.25">
      <c r="A10" s="85"/>
      <c r="B10" s="85"/>
      <c r="C10" s="85"/>
      <c r="D10" s="85"/>
      <c r="E10" s="85"/>
      <c r="F10" s="92" t="s">
        <v>930</v>
      </c>
      <c r="G10" s="92"/>
      <c r="H10" s="91"/>
      <c r="I10" s="91"/>
      <c r="J10" s="92" t="s">
        <v>931</v>
      </c>
      <c r="K10" s="92"/>
      <c r="L10" s="91"/>
      <c r="M10" s="91"/>
      <c r="N10" s="91" t="s">
        <v>932</v>
      </c>
      <c r="O10" s="85"/>
      <c r="P10" s="85"/>
      <c r="Q10" s="86"/>
      <c r="R10" s="86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</row>
    <row r="11" spans="1:34" x14ac:dyDescent="0.25">
      <c r="A11" s="93" t="s">
        <v>933</v>
      </c>
      <c r="B11" s="85"/>
      <c r="C11" s="85"/>
      <c r="D11" s="85"/>
      <c r="E11" s="85"/>
      <c r="F11" s="94" t="s">
        <v>934</v>
      </c>
      <c r="G11" s="91"/>
      <c r="H11" s="95"/>
      <c r="I11" s="95"/>
      <c r="J11" s="94" t="s">
        <v>934</v>
      </c>
      <c r="K11" s="91"/>
      <c r="L11" s="95"/>
      <c r="M11" s="95"/>
      <c r="N11" s="94" t="s">
        <v>935</v>
      </c>
      <c r="O11" s="96"/>
      <c r="P11" s="85"/>
      <c r="Q11" s="86"/>
      <c r="R11" s="86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</row>
    <row r="12" spans="1:34" x14ac:dyDescent="0.25">
      <c r="A12" s="85" t="s">
        <v>936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6"/>
      <c r="R12" s="86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</row>
    <row r="13" spans="1:34" x14ac:dyDescent="0.25">
      <c r="A13" s="85"/>
      <c r="B13" s="85" t="s">
        <v>937</v>
      </c>
      <c r="C13" s="85"/>
      <c r="D13" s="85"/>
      <c r="E13" s="85"/>
      <c r="F13" s="98">
        <f>'Budget Request-General Gov''t'!O42</f>
        <v>726508.54749999999</v>
      </c>
      <c r="G13" s="97"/>
      <c r="H13" s="98"/>
      <c r="I13" s="99"/>
      <c r="J13" s="98">
        <v>700035</v>
      </c>
      <c r="K13" s="97"/>
      <c r="L13" s="85"/>
      <c r="M13" s="85"/>
      <c r="N13" s="100"/>
      <c r="O13" s="85"/>
      <c r="P13" s="85"/>
      <c r="Q13" s="86"/>
      <c r="R13" s="86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</row>
    <row r="14" spans="1:34" x14ac:dyDescent="0.25">
      <c r="A14" s="85"/>
      <c r="B14" s="85" t="s">
        <v>938</v>
      </c>
      <c r="C14" s="85"/>
      <c r="D14" s="85"/>
      <c r="E14" s="85"/>
      <c r="F14" s="102">
        <f>'Budget Request-Public Safety'!F82</f>
        <v>1219497.5</v>
      </c>
      <c r="G14" s="101"/>
      <c r="H14" s="102"/>
      <c r="I14" s="101"/>
      <c r="J14" s="102">
        <v>1281601</v>
      </c>
      <c r="K14" s="101"/>
      <c r="L14" s="85"/>
      <c r="M14" s="85"/>
      <c r="N14" s="100"/>
      <c r="O14" s="85"/>
      <c r="P14" s="85"/>
      <c r="Q14" s="86"/>
      <c r="R14" s="86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</row>
    <row r="15" spans="1:34" x14ac:dyDescent="0.25">
      <c r="A15" s="85"/>
      <c r="B15" s="85" t="s">
        <v>256</v>
      </c>
      <c r="C15" s="85"/>
      <c r="D15" s="85"/>
      <c r="E15" s="85"/>
      <c r="F15" s="102">
        <f>'Budget Request-Public Works'!O30</f>
        <v>814061.5</v>
      </c>
      <c r="G15" s="101"/>
      <c r="H15" s="102"/>
      <c r="I15" s="101"/>
      <c r="J15" s="102">
        <v>780758</v>
      </c>
      <c r="K15" s="101"/>
      <c r="L15" s="85"/>
      <c r="M15" s="85"/>
      <c r="N15" s="100"/>
      <c r="O15" s="85"/>
      <c r="P15" s="85"/>
      <c r="Q15" s="86"/>
      <c r="R15" s="86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</row>
    <row r="16" spans="1:34" x14ac:dyDescent="0.25">
      <c r="A16" s="85"/>
      <c r="B16" s="85" t="s">
        <v>939</v>
      </c>
      <c r="C16" s="85"/>
      <c r="D16" s="85"/>
      <c r="E16" s="85"/>
      <c r="F16" s="102">
        <f>'Budget Request-HHS'!F14</f>
        <v>29320</v>
      </c>
      <c r="G16" s="101"/>
      <c r="H16" s="102"/>
      <c r="I16" s="101"/>
      <c r="J16" s="102">
        <v>29000</v>
      </c>
      <c r="K16" s="101"/>
      <c r="L16" s="85"/>
      <c r="M16" s="85"/>
      <c r="N16" s="100"/>
      <c r="O16" s="85"/>
      <c r="P16" s="85"/>
      <c r="Q16" s="86"/>
      <c r="R16" s="86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</row>
    <row r="17" spans="1:34" x14ac:dyDescent="0.25">
      <c r="A17" s="85"/>
      <c r="B17" s="85" t="s">
        <v>940</v>
      </c>
      <c r="C17" s="85"/>
      <c r="D17" s="85"/>
      <c r="E17" s="85"/>
      <c r="F17" s="102">
        <f>'Budget Request-Culture, Rec, Ed'!G64</f>
        <v>216036.25</v>
      </c>
      <c r="G17" s="101"/>
      <c r="H17" s="102"/>
      <c r="I17" s="101"/>
      <c r="J17" s="102">
        <v>204999</v>
      </c>
      <c r="K17" s="101"/>
      <c r="L17" s="85"/>
      <c r="M17" s="85"/>
      <c r="N17" s="100"/>
      <c r="O17" s="85"/>
      <c r="P17" s="85"/>
      <c r="Q17" s="86"/>
      <c r="R17" s="86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</row>
    <row r="18" spans="1:34" x14ac:dyDescent="0.25">
      <c r="A18" s="85"/>
      <c r="B18" s="85" t="s">
        <v>941</v>
      </c>
      <c r="C18" s="85"/>
      <c r="D18" s="85"/>
      <c r="E18" s="85"/>
      <c r="F18" s="102">
        <f>'Budget Request-Dev. &amp; Conserv.'!F11</f>
        <v>0</v>
      </c>
      <c r="G18" s="101"/>
      <c r="H18" s="102"/>
      <c r="I18" s="101"/>
      <c r="J18" s="102">
        <v>0</v>
      </c>
      <c r="K18" s="101"/>
      <c r="L18" s="85"/>
      <c r="M18" s="85"/>
      <c r="N18" s="103"/>
      <c r="O18" s="85"/>
      <c r="P18" s="85"/>
      <c r="Q18" s="86"/>
      <c r="R18" s="86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</row>
    <row r="19" spans="1:34" x14ac:dyDescent="0.25">
      <c r="A19" s="85"/>
      <c r="B19" s="85" t="s">
        <v>977</v>
      </c>
      <c r="C19" s="85"/>
      <c r="D19" s="85"/>
      <c r="E19" s="85"/>
      <c r="F19" s="146">
        <v>232925</v>
      </c>
      <c r="G19" s="101"/>
      <c r="H19" s="102"/>
      <c r="I19" s="101"/>
      <c r="J19" s="102">
        <v>0</v>
      </c>
      <c r="K19" s="101"/>
      <c r="L19" s="85"/>
      <c r="M19" s="85"/>
      <c r="N19" s="103"/>
      <c r="O19" s="85"/>
      <c r="P19" s="85"/>
      <c r="Q19" s="86"/>
      <c r="R19" s="86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</row>
    <row r="20" spans="1:34" x14ac:dyDescent="0.25">
      <c r="A20" s="85"/>
      <c r="B20" s="85" t="s">
        <v>583</v>
      </c>
      <c r="C20" s="85"/>
      <c r="D20" s="85"/>
      <c r="E20" s="85"/>
      <c r="F20" s="102">
        <f>'Budget Request-Debt Service'!F19</f>
        <v>630000</v>
      </c>
      <c r="G20" s="101"/>
      <c r="H20" s="102"/>
      <c r="I20" s="101"/>
      <c r="J20" s="102">
        <v>590945</v>
      </c>
      <c r="K20" s="101"/>
      <c r="L20" s="85"/>
      <c r="M20" s="85"/>
      <c r="N20" s="103"/>
      <c r="O20" s="85"/>
      <c r="P20" s="85"/>
      <c r="Q20" s="86"/>
      <c r="R20" s="86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</row>
    <row r="21" spans="1:34" ht="15.6" thickBot="1" x14ac:dyDescent="0.3">
      <c r="A21" s="85"/>
      <c r="B21" s="85"/>
      <c r="C21" s="85"/>
      <c r="D21" s="85"/>
      <c r="E21" s="85" t="s">
        <v>942</v>
      </c>
      <c r="F21" s="107">
        <f>SUM(F13:F20)</f>
        <v>3868348.7974999999</v>
      </c>
      <c r="G21" s="104"/>
      <c r="H21" s="105"/>
      <c r="I21" s="106"/>
      <c r="J21" s="107">
        <f>SUM(J13:J20)</f>
        <v>3587338</v>
      </c>
      <c r="K21" s="104"/>
      <c r="L21" s="85"/>
      <c r="M21" s="85"/>
      <c r="N21" s="103">
        <f>+(F21-J21)/J21</f>
        <v>7.833407320414186E-2</v>
      </c>
      <c r="O21" s="85"/>
      <c r="P21" s="85"/>
      <c r="Q21" s="86"/>
      <c r="R21" s="86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</row>
    <row r="22" spans="1:34" ht="15.6" thickTop="1" x14ac:dyDescent="0.25">
      <c r="A22" s="85"/>
      <c r="B22" s="85"/>
      <c r="C22" s="85"/>
      <c r="D22" s="85"/>
      <c r="E22" s="85"/>
      <c r="F22" s="105"/>
      <c r="G22" s="106"/>
      <c r="H22" s="105"/>
      <c r="I22" s="106"/>
      <c r="J22" s="105"/>
      <c r="K22" s="106"/>
      <c r="L22" s="85"/>
      <c r="M22" s="85"/>
      <c r="N22" s="103"/>
      <c r="O22" s="85"/>
      <c r="P22" s="85"/>
      <c r="Q22" s="86"/>
      <c r="R22" s="86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</row>
    <row r="23" spans="1:34" x14ac:dyDescent="0.25">
      <c r="A23" s="85"/>
      <c r="B23" s="85"/>
      <c r="C23" s="85"/>
      <c r="D23" s="85"/>
      <c r="E23" s="85"/>
      <c r="F23" s="105"/>
      <c r="G23" s="106"/>
      <c r="H23" s="105"/>
      <c r="I23" s="106"/>
      <c r="J23" s="105"/>
      <c r="K23" s="106"/>
      <c r="L23" s="85"/>
      <c r="M23" s="85"/>
      <c r="N23" s="100"/>
      <c r="O23" s="85"/>
      <c r="P23" s="85"/>
      <c r="Q23" s="86"/>
      <c r="R23" s="86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</row>
    <row r="24" spans="1:34" x14ac:dyDescent="0.25">
      <c r="A24" s="85" t="s">
        <v>943</v>
      </c>
      <c r="B24" s="85"/>
      <c r="C24" s="85"/>
      <c r="D24" s="85"/>
      <c r="E24" s="85"/>
      <c r="F24" s="105"/>
      <c r="G24" s="106"/>
      <c r="H24" s="105"/>
      <c r="I24" s="106"/>
      <c r="J24" s="105"/>
      <c r="K24" s="106"/>
      <c r="L24" s="85"/>
      <c r="M24" s="85"/>
      <c r="N24" s="100"/>
      <c r="O24" s="85"/>
      <c r="P24" s="85"/>
      <c r="Q24" s="86"/>
      <c r="R24" s="86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</row>
    <row r="25" spans="1:34" x14ac:dyDescent="0.25">
      <c r="A25" s="85"/>
      <c r="B25" s="85" t="s">
        <v>944</v>
      </c>
      <c r="C25" s="85"/>
      <c r="D25" s="85"/>
      <c r="E25" s="85"/>
      <c r="F25" s="105"/>
      <c r="G25" s="106"/>
      <c r="H25" s="105"/>
      <c r="I25" s="106"/>
      <c r="J25" s="105"/>
      <c r="K25" s="106"/>
      <c r="L25" s="85"/>
      <c r="M25" s="85"/>
      <c r="N25" s="100"/>
      <c r="O25" s="85"/>
      <c r="P25" s="85"/>
      <c r="Q25" s="86"/>
      <c r="R25" s="86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</row>
    <row r="26" spans="1:34" x14ac:dyDescent="0.25">
      <c r="A26" s="85"/>
      <c r="B26" s="85"/>
      <c r="C26" s="85" t="s">
        <v>5</v>
      </c>
      <c r="D26" s="85"/>
      <c r="E26" s="85"/>
      <c r="F26" s="109">
        <f>Revenues!F12</f>
        <v>2248662</v>
      </c>
      <c r="G26" s="104"/>
      <c r="H26" s="105"/>
      <c r="I26" s="106"/>
      <c r="J26" s="109">
        <v>2020132</v>
      </c>
      <c r="K26" s="106"/>
      <c r="L26" s="85"/>
      <c r="M26" s="85"/>
      <c r="N26" s="100"/>
      <c r="O26" s="85"/>
      <c r="P26" s="85"/>
      <c r="Q26" s="86"/>
      <c r="R26" s="86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</row>
    <row r="27" spans="1:34" x14ac:dyDescent="0.25">
      <c r="A27" s="85"/>
      <c r="B27" s="85"/>
      <c r="C27" s="85" t="s">
        <v>236</v>
      </c>
      <c r="D27" s="85"/>
      <c r="E27" s="85"/>
      <c r="F27" s="105">
        <f>Revenues!F22</f>
        <v>180100</v>
      </c>
      <c r="G27" s="106"/>
      <c r="H27" s="105"/>
      <c r="I27" s="106"/>
      <c r="J27" s="105">
        <v>180214</v>
      </c>
      <c r="K27" s="106"/>
      <c r="L27" s="85"/>
      <c r="M27" s="85"/>
      <c r="N27" s="100"/>
      <c r="O27" s="85"/>
      <c r="P27" s="85"/>
      <c r="Q27" s="86"/>
      <c r="R27" s="86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</row>
    <row r="28" spans="1:34" x14ac:dyDescent="0.25">
      <c r="A28" s="85"/>
      <c r="B28" s="85" t="s">
        <v>237</v>
      </c>
      <c r="C28" s="85"/>
      <c r="D28" s="85"/>
      <c r="E28" s="85"/>
      <c r="F28" s="105">
        <f>Revenues!F29</f>
        <v>0</v>
      </c>
      <c r="G28" s="106"/>
      <c r="H28" s="105"/>
      <c r="I28" s="106"/>
      <c r="J28" s="105">
        <v>1200</v>
      </c>
      <c r="K28" s="106"/>
      <c r="L28" s="85"/>
      <c r="M28" s="85"/>
      <c r="N28" s="100"/>
      <c r="O28" s="85"/>
      <c r="P28" s="85"/>
      <c r="Q28" s="86"/>
      <c r="R28" s="86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</row>
    <row r="29" spans="1:34" x14ac:dyDescent="0.25">
      <c r="A29" s="85"/>
      <c r="B29" s="85" t="s">
        <v>945</v>
      </c>
      <c r="C29" s="85"/>
      <c r="D29" s="85"/>
      <c r="E29" s="85"/>
      <c r="F29" s="105">
        <f>Revenues!F43</f>
        <v>957437.47</v>
      </c>
      <c r="G29" s="106"/>
      <c r="H29" s="105"/>
      <c r="I29" s="106"/>
      <c r="J29" s="105">
        <v>880721</v>
      </c>
      <c r="K29" s="106"/>
      <c r="L29" s="85"/>
      <c r="M29" s="85"/>
      <c r="N29" s="100"/>
      <c r="O29" s="85"/>
      <c r="P29" s="85"/>
      <c r="Q29" s="86"/>
      <c r="R29" s="86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</row>
    <row r="30" spans="1:34" x14ac:dyDescent="0.25">
      <c r="A30" s="85"/>
      <c r="B30" s="85" t="s">
        <v>946</v>
      </c>
      <c r="C30" s="85"/>
      <c r="D30" s="85"/>
      <c r="E30" s="85"/>
      <c r="F30" s="105">
        <f>Revenues!F65</f>
        <v>67650</v>
      </c>
      <c r="G30" s="106"/>
      <c r="H30" s="105"/>
      <c r="I30" s="106"/>
      <c r="J30" s="105">
        <v>62650</v>
      </c>
      <c r="K30" s="106"/>
      <c r="L30" s="85"/>
      <c r="M30" s="85"/>
      <c r="N30" s="100"/>
      <c r="O30" s="85"/>
      <c r="P30" s="85"/>
      <c r="Q30" s="86"/>
      <c r="R30" s="86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</row>
    <row r="31" spans="1:34" x14ac:dyDescent="0.25">
      <c r="A31" s="85"/>
      <c r="B31" s="85" t="s">
        <v>947</v>
      </c>
      <c r="C31" s="85"/>
      <c r="D31" s="85"/>
      <c r="E31" s="85"/>
      <c r="F31" s="105">
        <f>Revenues!F75</f>
        <v>59500</v>
      </c>
      <c r="G31" s="106"/>
      <c r="H31" s="105"/>
      <c r="I31" s="106"/>
      <c r="J31" s="105">
        <v>58500</v>
      </c>
      <c r="K31" s="106"/>
      <c r="L31" s="85"/>
      <c r="M31" s="85"/>
      <c r="N31" s="100"/>
      <c r="O31" s="85"/>
      <c r="P31" s="85"/>
      <c r="Q31" s="86"/>
      <c r="R31" s="86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</row>
    <row r="32" spans="1:34" x14ac:dyDescent="0.25">
      <c r="A32" s="85"/>
      <c r="B32" s="85" t="s">
        <v>948</v>
      </c>
      <c r="C32" s="85"/>
      <c r="D32" s="85"/>
      <c r="E32" s="85"/>
      <c r="F32" s="105">
        <f>Revenues!F117+Revenues!F130</f>
        <v>263050</v>
      </c>
      <c r="G32" s="106"/>
      <c r="H32" s="105"/>
      <c r="I32" s="106"/>
      <c r="J32" s="105">
        <v>267250</v>
      </c>
      <c r="K32" s="106"/>
      <c r="L32" s="85"/>
      <c r="M32" s="85"/>
      <c r="N32" s="100"/>
      <c r="O32" s="85"/>
      <c r="P32" s="85"/>
      <c r="Q32" s="86"/>
      <c r="R32" s="86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</row>
    <row r="33" spans="1:34" x14ac:dyDescent="0.25">
      <c r="A33" s="85"/>
      <c r="B33" s="85" t="s">
        <v>242</v>
      </c>
      <c r="C33" s="85"/>
      <c r="D33" s="85"/>
      <c r="E33" s="85"/>
      <c r="F33" s="106">
        <f>Revenues!F159</f>
        <v>91950</v>
      </c>
      <c r="G33" s="106"/>
      <c r="H33" s="106"/>
      <c r="I33" s="106"/>
      <c r="J33" s="106">
        <v>116671</v>
      </c>
      <c r="K33" s="106"/>
      <c r="L33" s="85"/>
      <c r="M33" s="85"/>
      <c r="N33" s="100"/>
      <c r="O33" s="85"/>
      <c r="P33" s="85"/>
      <c r="Q33" s="86"/>
      <c r="R33" s="86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</row>
    <row r="34" spans="1:34" hidden="1" x14ac:dyDescent="0.25">
      <c r="A34" s="85"/>
      <c r="B34" s="85" t="s">
        <v>949</v>
      </c>
      <c r="C34" s="85"/>
      <c r="D34" s="85"/>
      <c r="E34" s="85"/>
      <c r="F34" s="106">
        <v>0</v>
      </c>
      <c r="G34" s="106"/>
      <c r="H34" s="105"/>
      <c r="I34" s="106"/>
      <c r="J34" s="106">
        <v>0</v>
      </c>
      <c r="K34" s="106"/>
      <c r="L34" s="85"/>
      <c r="M34" s="85"/>
      <c r="N34" s="100"/>
      <c r="O34" s="85"/>
      <c r="P34" s="85"/>
      <c r="Q34" s="86"/>
      <c r="R34" s="86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</row>
    <row r="35" spans="1:34" ht="15.6" thickBot="1" x14ac:dyDescent="0.3">
      <c r="A35" s="85"/>
      <c r="B35" s="85"/>
      <c r="C35" s="85"/>
      <c r="D35" s="85"/>
      <c r="E35" s="85" t="s">
        <v>950</v>
      </c>
      <c r="F35" s="107">
        <f>SUM(F26:F34)</f>
        <v>3868349.4699999997</v>
      </c>
      <c r="G35" s="104"/>
      <c r="H35" s="105"/>
      <c r="I35" s="106"/>
      <c r="J35" s="107">
        <f>SUM(J26:J34)</f>
        <v>3587338</v>
      </c>
      <c r="K35" s="104"/>
      <c r="L35" s="85"/>
      <c r="M35" s="85"/>
      <c r="N35" s="103">
        <f>+(F35-J35)/J35</f>
        <v>7.8334260669053135E-2</v>
      </c>
      <c r="O35" s="85"/>
      <c r="P35" s="144">
        <f>F35-F21</f>
        <v>0.67249999986961484</v>
      </c>
      <c r="Q35" s="86"/>
      <c r="R35" s="86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</row>
    <row r="36" spans="1:34" ht="15.6" thickTop="1" x14ac:dyDescent="0.25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100"/>
      <c r="O36" s="85"/>
      <c r="P36" s="85"/>
      <c r="Q36" s="86"/>
      <c r="R36" s="86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</row>
    <row r="37" spans="1:34" x14ac:dyDescent="0.25">
      <c r="A37" s="85"/>
      <c r="B37" s="85"/>
      <c r="C37" s="85"/>
      <c r="D37" s="85"/>
      <c r="E37" s="85"/>
      <c r="F37" s="111"/>
      <c r="G37" s="85"/>
      <c r="H37" s="85"/>
      <c r="I37" s="85"/>
      <c r="J37" s="85"/>
      <c r="K37" s="85"/>
      <c r="L37" s="85"/>
      <c r="M37" s="85"/>
      <c r="N37" s="100"/>
      <c r="O37" s="85"/>
      <c r="P37" s="85"/>
      <c r="Q37" s="86"/>
      <c r="R37" s="86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</row>
    <row r="38" spans="1:34" x14ac:dyDescent="0.25">
      <c r="A38" s="85"/>
      <c r="B38" s="85"/>
      <c r="C38" s="85"/>
      <c r="D38" s="85"/>
      <c r="E38" s="85"/>
      <c r="F38" s="91" t="s">
        <v>951</v>
      </c>
      <c r="G38" s="91"/>
      <c r="H38" s="91"/>
      <c r="I38" s="91"/>
      <c r="J38" s="91"/>
      <c r="K38" s="91"/>
      <c r="L38" s="91" t="s">
        <v>951</v>
      </c>
      <c r="M38" s="91"/>
      <c r="N38" s="91"/>
      <c r="O38" s="85"/>
      <c r="P38" s="85"/>
      <c r="Q38" s="86"/>
      <c r="R38" s="86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</row>
    <row r="39" spans="1:34" x14ac:dyDescent="0.25">
      <c r="A39" s="85"/>
      <c r="B39" s="85"/>
      <c r="C39" s="85"/>
      <c r="D39" s="85"/>
      <c r="E39" s="85"/>
      <c r="F39" s="91" t="s">
        <v>952</v>
      </c>
      <c r="G39" s="91"/>
      <c r="H39" s="91" t="s">
        <v>953</v>
      </c>
      <c r="I39" s="91"/>
      <c r="J39" s="91" t="s">
        <v>953</v>
      </c>
      <c r="K39" s="91"/>
      <c r="L39" s="91" t="s">
        <v>952</v>
      </c>
      <c r="M39" s="91"/>
      <c r="N39" s="91" t="s">
        <v>954</v>
      </c>
      <c r="O39" s="85"/>
      <c r="P39" s="85"/>
      <c r="Q39" s="86"/>
      <c r="R39" s="86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</row>
    <row r="40" spans="1:34" x14ac:dyDescent="0.25">
      <c r="A40" s="112" t="s">
        <v>976</v>
      </c>
      <c r="B40" s="113"/>
      <c r="C40" s="113"/>
      <c r="D40" s="113"/>
      <c r="E40" s="113"/>
      <c r="F40" s="114" t="s">
        <v>955</v>
      </c>
      <c r="G40" s="92"/>
      <c r="H40" s="94" t="s">
        <v>956</v>
      </c>
      <c r="I40" s="91"/>
      <c r="J40" s="94" t="s">
        <v>957</v>
      </c>
      <c r="K40" s="91"/>
      <c r="L40" s="114" t="s">
        <v>958</v>
      </c>
      <c r="M40" s="92"/>
      <c r="N40" s="94" t="s">
        <v>959</v>
      </c>
      <c r="O40" s="85"/>
      <c r="P40" s="85"/>
      <c r="Q40" s="86"/>
      <c r="R40" s="86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</row>
    <row r="41" spans="1:34" x14ac:dyDescent="0.25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6"/>
      <c r="R41" s="86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</row>
    <row r="42" spans="1:34" x14ac:dyDescent="0.25">
      <c r="A42" s="93" t="s">
        <v>960</v>
      </c>
      <c r="B42" s="85"/>
      <c r="C42" s="85"/>
      <c r="D42" s="85"/>
      <c r="E42" s="85"/>
      <c r="F42" s="109">
        <f>2685648+J35-J21</f>
        <v>2685648</v>
      </c>
      <c r="G42" s="115"/>
      <c r="H42" s="109">
        <f>+F35</f>
        <v>3868349.4699999997</v>
      </c>
      <c r="I42" s="115"/>
      <c r="J42" s="109">
        <f>+F21</f>
        <v>3868348.7974999999</v>
      </c>
      <c r="K42" s="115"/>
      <c r="L42" s="109">
        <f>+F42+H42-J42</f>
        <v>2685648.6724999999</v>
      </c>
      <c r="M42" s="115"/>
      <c r="N42" s="109">
        <f>Revenues!F10</f>
        <v>1657746</v>
      </c>
      <c r="O42" s="85"/>
      <c r="P42" s="85"/>
      <c r="Q42" s="86"/>
      <c r="R42" s="86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</row>
    <row r="43" spans="1:34" x14ac:dyDescent="0.25">
      <c r="A43" s="93" t="s">
        <v>961</v>
      </c>
      <c r="B43" s="85"/>
      <c r="C43" s="85"/>
      <c r="D43" s="85"/>
      <c r="E43" s="85"/>
      <c r="F43" s="105"/>
      <c r="G43" s="106"/>
      <c r="H43" s="105"/>
      <c r="I43" s="106"/>
      <c r="J43" s="105"/>
      <c r="K43" s="106"/>
      <c r="L43" s="105"/>
      <c r="M43" s="106"/>
      <c r="O43" s="85"/>
      <c r="P43" s="85"/>
      <c r="Q43" s="86"/>
      <c r="R43" s="86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</row>
    <row r="44" spans="1:34" x14ac:dyDescent="0.25">
      <c r="A44" s="93"/>
      <c r="B44" s="85" t="s">
        <v>962</v>
      </c>
      <c r="C44" s="85"/>
      <c r="D44" s="85"/>
      <c r="E44" s="85"/>
      <c r="F44" s="105">
        <f>283016+Library!D30-Library!D24</f>
        <v>283016</v>
      </c>
      <c r="G44" s="106"/>
      <c r="H44" s="105">
        <f>Library!E30</f>
        <v>464338</v>
      </c>
      <c r="I44" s="106"/>
      <c r="J44" s="105">
        <f>Library!E24</f>
        <v>477789</v>
      </c>
      <c r="K44" s="106"/>
      <c r="L44" s="105">
        <f>+F44+H44-J44</f>
        <v>269565</v>
      </c>
      <c r="M44" s="106"/>
      <c r="N44" s="105">
        <f>Library!E26</f>
        <v>200000</v>
      </c>
      <c r="O44" s="85"/>
      <c r="P44" s="85"/>
      <c r="Q44" s="86"/>
      <c r="R44" s="86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</row>
    <row r="45" spans="1:34" x14ac:dyDescent="0.25">
      <c r="A45" s="93" t="s">
        <v>963</v>
      </c>
      <c r="B45" s="85"/>
      <c r="C45" s="85"/>
      <c r="D45" s="85"/>
      <c r="E45" s="85"/>
      <c r="F45" s="105"/>
      <c r="G45" s="106"/>
      <c r="H45" s="105"/>
      <c r="I45" s="106"/>
      <c r="J45" s="105"/>
      <c r="K45" s="106"/>
      <c r="L45" s="105"/>
      <c r="M45" s="106"/>
      <c r="N45" s="105"/>
      <c r="O45" s="85"/>
      <c r="P45" s="85"/>
      <c r="Q45" s="86"/>
      <c r="R45" s="86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</row>
    <row r="46" spans="1:34" x14ac:dyDescent="0.25">
      <c r="A46" s="85"/>
      <c r="B46" s="85" t="s">
        <v>964</v>
      </c>
      <c r="C46" s="85"/>
      <c r="D46" s="85"/>
      <c r="E46" s="85"/>
      <c r="F46" s="105">
        <f>-111452+Revenues!E11-'Budget Request-Debt Service'!E14</f>
        <v>-123452</v>
      </c>
      <c r="G46" s="106"/>
      <c r="H46" s="105">
        <f>Revenues!F11</f>
        <v>590916</v>
      </c>
      <c r="I46" s="106"/>
      <c r="J46" s="105">
        <f>'Budget Request-Debt Service'!F14</f>
        <v>630000</v>
      </c>
      <c r="K46" s="106"/>
      <c r="L46" s="105">
        <f>+F46+H46-J46</f>
        <v>-162536</v>
      </c>
      <c r="M46" s="106"/>
      <c r="N46" s="105">
        <f>Revenues!F11</f>
        <v>590916</v>
      </c>
      <c r="O46" s="85"/>
      <c r="P46" s="85"/>
      <c r="Q46" s="86"/>
      <c r="R46" s="86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</row>
    <row r="47" spans="1:34" x14ac:dyDescent="0.25">
      <c r="A47" s="93" t="s">
        <v>965</v>
      </c>
      <c r="B47" s="85"/>
      <c r="C47" s="85"/>
      <c r="D47" s="85"/>
      <c r="E47" s="85"/>
      <c r="F47" s="105"/>
      <c r="G47" s="106"/>
      <c r="H47" s="105"/>
      <c r="I47" s="106"/>
      <c r="J47" s="105"/>
      <c r="K47" s="106"/>
      <c r="L47" s="105"/>
      <c r="M47" s="106"/>
      <c r="N47" s="105"/>
      <c r="O47" s="85"/>
      <c r="P47" s="85"/>
      <c r="Q47" s="86"/>
      <c r="R47" s="86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</row>
    <row r="48" spans="1:34" x14ac:dyDescent="0.25">
      <c r="A48" s="93"/>
      <c r="B48" s="85" t="s">
        <v>966</v>
      </c>
      <c r="C48" s="85"/>
      <c r="D48" s="85"/>
      <c r="E48" s="85"/>
      <c r="F48" s="105">
        <f>-358558-'Budget Request-Capital Projects'!E22</f>
        <v>-483558</v>
      </c>
      <c r="G48" s="106"/>
      <c r="H48" s="145">
        <v>232925</v>
      </c>
      <c r="I48" s="106"/>
      <c r="J48" s="105">
        <f>'Budget Request-Capital Projects'!F22</f>
        <v>200000</v>
      </c>
      <c r="K48" s="106"/>
      <c r="L48" s="105">
        <f>+F48+H48-J48</f>
        <v>-450633</v>
      </c>
      <c r="M48" s="106"/>
      <c r="N48" s="105">
        <v>0</v>
      </c>
      <c r="O48" s="85"/>
      <c r="P48" s="85"/>
      <c r="Q48" s="86"/>
      <c r="R48" s="86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</row>
    <row r="49" spans="1:34" x14ac:dyDescent="0.25">
      <c r="A49" s="85"/>
      <c r="B49" s="85" t="s">
        <v>967</v>
      </c>
      <c r="C49" s="85"/>
      <c r="D49" s="85"/>
      <c r="E49" s="85"/>
      <c r="F49" s="105">
        <f>-1377853+Revenues!M14-'Budget Request-TID #6'!E22</f>
        <v>-1342055.3500000001</v>
      </c>
      <c r="G49" s="106"/>
      <c r="H49" s="105">
        <f>Revenues!N14</f>
        <v>350000</v>
      </c>
      <c r="I49" s="106"/>
      <c r="J49" s="105">
        <f>'Budget Request-TID #6'!F22</f>
        <v>314750</v>
      </c>
      <c r="K49" s="106"/>
      <c r="L49" s="105">
        <f>+F49+H49-J49</f>
        <v>-1306805.3500000001</v>
      </c>
      <c r="M49" s="106"/>
      <c r="N49" s="105">
        <v>0</v>
      </c>
      <c r="O49" s="85"/>
      <c r="P49" s="85"/>
      <c r="Q49" s="86"/>
      <c r="R49" s="86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</row>
    <row r="50" spans="1:34" x14ac:dyDescent="0.25">
      <c r="A50" s="85"/>
      <c r="B50" s="85" t="s">
        <v>968</v>
      </c>
      <c r="C50" s="85"/>
      <c r="D50" s="85"/>
      <c r="E50" s="85"/>
      <c r="F50" s="105">
        <f>0+Revenues!M19-'Budget Request-TID #7'!E23</f>
        <v>36500</v>
      </c>
      <c r="G50" s="106"/>
      <c r="H50" s="105">
        <f>Revenues!N19</f>
        <v>62500</v>
      </c>
      <c r="I50" s="106"/>
      <c r="J50" s="105">
        <f>'Budget Request-TID #7'!F23</f>
        <v>18500</v>
      </c>
      <c r="K50" s="106"/>
      <c r="L50" s="105">
        <f>+F50+H50-J50</f>
        <v>80500</v>
      </c>
      <c r="M50" s="106"/>
      <c r="N50" s="105">
        <v>0</v>
      </c>
      <c r="O50" s="85"/>
      <c r="P50" s="85"/>
      <c r="Q50" s="86"/>
      <c r="R50" s="86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</row>
    <row r="51" spans="1:34" x14ac:dyDescent="0.25">
      <c r="A51" s="85"/>
      <c r="B51" s="85" t="s">
        <v>969</v>
      </c>
      <c r="C51" s="85"/>
      <c r="D51" s="85"/>
      <c r="E51" s="85"/>
      <c r="F51" s="105">
        <f>-142694+Revenues!M25-'Budget Request-TID #8'!E16</f>
        <v>-167244</v>
      </c>
      <c r="G51" s="106"/>
      <c r="H51" s="105">
        <f>Revenues!N25</f>
        <v>16000</v>
      </c>
      <c r="I51" s="106"/>
      <c r="J51" s="105">
        <f>'Budget Request-TID #8'!F16</f>
        <v>40550</v>
      </c>
      <c r="K51" s="106"/>
      <c r="L51" s="105">
        <f>+F51+H51-J51</f>
        <v>-191794</v>
      </c>
      <c r="M51" s="106"/>
      <c r="N51" s="105"/>
      <c r="O51" s="85"/>
      <c r="P51" s="85"/>
      <c r="Q51" s="86"/>
      <c r="R51" s="86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</row>
    <row r="52" spans="1:34" x14ac:dyDescent="0.25">
      <c r="A52" s="85"/>
      <c r="B52" s="85" t="s">
        <v>970</v>
      </c>
      <c r="C52" s="85"/>
      <c r="D52" s="85"/>
      <c r="E52" s="85"/>
      <c r="F52" s="105">
        <f>136189+Revenues!M30-'Budget Request-TID #9'!F14</f>
        <v>143689</v>
      </c>
      <c r="G52" s="106"/>
      <c r="H52" s="105">
        <f>Revenues!N30</f>
        <v>15000</v>
      </c>
      <c r="I52" s="106"/>
      <c r="J52" s="105">
        <f>'Budget Request-TID #9'!G14</f>
        <v>5000</v>
      </c>
      <c r="K52" s="106"/>
      <c r="L52" s="105">
        <f>+F52+H52-J52</f>
        <v>153689</v>
      </c>
      <c r="M52" s="106"/>
      <c r="N52" s="105"/>
      <c r="O52" s="85"/>
      <c r="P52" s="85"/>
      <c r="Q52" s="86"/>
      <c r="R52" s="86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</row>
    <row r="53" spans="1:34" hidden="1" x14ac:dyDescent="0.25">
      <c r="A53" s="85"/>
      <c r="B53" s="85"/>
      <c r="C53" s="85"/>
      <c r="D53" s="85"/>
      <c r="E53" s="85"/>
      <c r="F53" s="105"/>
      <c r="G53" s="106"/>
      <c r="H53" s="108"/>
      <c r="I53" s="110"/>
      <c r="J53" s="108"/>
      <c r="K53" s="110"/>
      <c r="L53" s="108"/>
      <c r="M53" s="110"/>
      <c r="N53" s="105"/>
      <c r="O53" s="85"/>
      <c r="P53" s="85"/>
      <c r="Q53" s="86"/>
      <c r="R53" s="86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</row>
    <row r="54" spans="1:34" ht="15.6" thickBot="1" x14ac:dyDescent="0.3">
      <c r="A54" s="85"/>
      <c r="B54" s="85"/>
      <c r="C54" s="85"/>
      <c r="D54" s="85"/>
      <c r="E54" s="85" t="s">
        <v>953</v>
      </c>
      <c r="F54" s="107">
        <f>SUM(F42:F52)</f>
        <v>1032543.6499999999</v>
      </c>
      <c r="G54" s="116"/>
      <c r="H54" s="107">
        <f>SUM(H42:H52)</f>
        <v>5600028.4699999997</v>
      </c>
      <c r="I54" s="116"/>
      <c r="J54" s="107">
        <f>SUM(J42:J52)</f>
        <v>5554937.7974999994</v>
      </c>
      <c r="K54" s="116"/>
      <c r="L54" s="107">
        <f>SUM(L42:L52)</f>
        <v>1077634.3224999998</v>
      </c>
      <c r="M54" s="116"/>
      <c r="N54" s="107">
        <f>SUM(N42:N52)</f>
        <v>2448662</v>
      </c>
      <c r="O54" s="85"/>
      <c r="P54" s="85"/>
      <c r="Q54" s="86"/>
      <c r="R54" s="86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</row>
    <row r="55" spans="1:34" ht="15.6" thickTop="1" x14ac:dyDescent="0.25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6"/>
      <c r="R55" s="86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</row>
    <row r="56" spans="1:34" x14ac:dyDescent="0.25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6"/>
      <c r="Q56" s="86"/>
      <c r="R56" s="86"/>
      <c r="S56" s="86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</row>
    <row r="57" spans="1:34" x14ac:dyDescent="0.25">
      <c r="A57" s="85"/>
      <c r="B57" s="85"/>
      <c r="C57" s="85"/>
      <c r="D57" s="85"/>
      <c r="E57" s="85"/>
      <c r="F57" s="92" t="s">
        <v>930</v>
      </c>
      <c r="G57" s="92"/>
      <c r="H57" s="92" t="s">
        <v>931</v>
      </c>
      <c r="I57" s="92"/>
      <c r="J57" s="91" t="s">
        <v>971</v>
      </c>
      <c r="K57" s="91"/>
      <c r="L57" s="91" t="s">
        <v>932</v>
      </c>
      <c r="M57" s="91"/>
      <c r="N57" s="85"/>
      <c r="O57" s="85"/>
      <c r="P57" s="86"/>
      <c r="Q57" s="86"/>
      <c r="R57" s="86"/>
      <c r="S57" s="86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</row>
    <row r="58" spans="1:34" x14ac:dyDescent="0.25">
      <c r="A58" s="85"/>
      <c r="B58" s="85"/>
      <c r="C58" s="85"/>
      <c r="D58" s="85"/>
      <c r="E58" s="85"/>
      <c r="F58" s="94" t="s">
        <v>934</v>
      </c>
      <c r="G58" s="91"/>
      <c r="H58" s="94" t="s">
        <v>934</v>
      </c>
      <c r="I58" s="91"/>
      <c r="J58" s="94" t="s">
        <v>935</v>
      </c>
      <c r="K58" s="91"/>
      <c r="L58" s="94" t="s">
        <v>935</v>
      </c>
      <c r="M58" s="91"/>
      <c r="N58" s="85"/>
      <c r="O58" s="85"/>
      <c r="P58" s="86"/>
      <c r="Q58" s="86"/>
      <c r="R58" s="86"/>
      <c r="S58" s="86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</row>
    <row r="59" spans="1:34" x14ac:dyDescent="0.25">
      <c r="A59" s="85"/>
      <c r="B59" s="85"/>
      <c r="C59" s="85"/>
      <c r="D59" s="85"/>
      <c r="E59" s="85" t="s">
        <v>972</v>
      </c>
      <c r="F59" s="109">
        <f>Revenues!F12</f>
        <v>2248662</v>
      </c>
      <c r="G59" s="115"/>
      <c r="H59" s="109">
        <f>Revenues!E12</f>
        <v>2020132</v>
      </c>
      <c r="I59" s="115"/>
      <c r="J59" s="105">
        <f>ROUND(H59-F59,0)</f>
        <v>-228530</v>
      </c>
      <c r="K59" s="115"/>
      <c r="L59" s="100">
        <f>+J59/H59</f>
        <v>-0.11312627095655135</v>
      </c>
      <c r="M59" s="103"/>
      <c r="N59" s="85"/>
      <c r="O59" s="85"/>
      <c r="P59" s="86"/>
      <c r="Q59" s="86"/>
      <c r="R59" s="86"/>
      <c r="S59" s="86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</row>
    <row r="60" spans="1:34" ht="5.0999999999999996" customHeight="1" x14ac:dyDescent="0.25">
      <c r="A60" s="85"/>
      <c r="B60" s="85"/>
      <c r="C60" s="85"/>
      <c r="D60" s="85"/>
      <c r="E60" s="85"/>
      <c r="F60" s="109"/>
      <c r="G60" s="116"/>
      <c r="H60" s="109"/>
      <c r="I60" s="116"/>
      <c r="J60" s="117"/>
      <c r="K60" s="115"/>
      <c r="L60" s="100"/>
      <c r="M60" s="103"/>
      <c r="N60" s="85"/>
      <c r="O60" s="85"/>
      <c r="P60" s="86"/>
      <c r="Q60" s="86"/>
      <c r="R60" s="86"/>
      <c r="S60" s="86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</row>
    <row r="61" spans="1:34" x14ac:dyDescent="0.25">
      <c r="A61" s="85"/>
      <c r="B61" s="85"/>
      <c r="C61" s="85"/>
      <c r="D61" s="85"/>
      <c r="E61" s="85" t="s">
        <v>973</v>
      </c>
      <c r="F61" s="118">
        <f>+F59/(F63/1000)</f>
        <v>7.8250393659686637</v>
      </c>
      <c r="G61" s="119"/>
      <c r="H61" s="118">
        <f>+H59/(H63/1000)</f>
        <v>6.6199672693501777</v>
      </c>
      <c r="I61" s="119"/>
      <c r="J61" s="118">
        <f>+H61-F61</f>
        <v>-1.205072096618486</v>
      </c>
      <c r="K61" s="115"/>
      <c r="L61" s="100">
        <f>+J61/H61</f>
        <v>-0.18203595993561114</v>
      </c>
      <c r="M61" s="103"/>
      <c r="N61" s="85"/>
      <c r="O61" s="85"/>
      <c r="P61" s="86"/>
      <c r="Q61" s="86"/>
      <c r="R61" s="86"/>
      <c r="S61" s="86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</row>
    <row r="62" spans="1:34" ht="5.0999999999999996" customHeight="1" x14ac:dyDescent="0.25">
      <c r="A62" s="85"/>
      <c r="B62" s="85"/>
      <c r="C62" s="85"/>
      <c r="D62" s="85"/>
      <c r="E62" s="85"/>
      <c r="F62" s="120"/>
      <c r="G62" s="120"/>
      <c r="H62" s="120"/>
      <c r="I62" s="120"/>
      <c r="J62" s="117"/>
      <c r="K62" s="115"/>
      <c r="L62" s="100"/>
      <c r="M62" s="103"/>
      <c r="N62" s="85"/>
      <c r="O62" s="85"/>
      <c r="P62" s="86"/>
      <c r="Q62" s="86"/>
      <c r="R62" s="86"/>
      <c r="S62" s="86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</row>
    <row r="63" spans="1:34" x14ac:dyDescent="0.25">
      <c r="A63" s="85"/>
      <c r="B63" s="85"/>
      <c r="C63" s="85"/>
      <c r="D63" s="85"/>
      <c r="E63" s="85" t="s">
        <v>974</v>
      </c>
      <c r="F63" s="109">
        <v>287367500</v>
      </c>
      <c r="G63" s="121"/>
      <c r="H63" s="109">
        <v>305157400</v>
      </c>
      <c r="I63" s="121"/>
      <c r="J63" s="109">
        <f>+H63-F63</f>
        <v>17789900</v>
      </c>
      <c r="K63" s="115"/>
      <c r="L63" s="100">
        <f>+J63/H63</f>
        <v>5.8297455673694952E-2</v>
      </c>
      <c r="M63" s="103"/>
      <c r="N63" s="85"/>
      <c r="O63" s="85"/>
      <c r="P63" s="86"/>
      <c r="Q63" s="86"/>
      <c r="R63" s="86"/>
      <c r="S63" s="86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</row>
    <row r="64" spans="1:34" x14ac:dyDescent="0.25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6"/>
      <c r="Q64" s="86"/>
      <c r="R64" s="86"/>
      <c r="S64" s="86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</row>
    <row r="66" spans="1:1" x14ac:dyDescent="0.25">
      <c r="A66" s="85" t="s">
        <v>975</v>
      </c>
    </row>
  </sheetData>
  <mergeCells count="2">
    <mergeCell ref="A1:N1"/>
    <mergeCell ref="A3:N3"/>
  </mergeCells>
  <pageMargins left="0.7" right="0.7" top="0.75" bottom="0.75" header="0.3" footer="0.3"/>
  <pageSetup scale="71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6"/>
  <sheetViews>
    <sheetView view="pageLayout" topLeftCell="A4" zoomScaleNormal="100" workbookViewId="0">
      <selection activeCell="F8" sqref="F8"/>
    </sheetView>
  </sheetViews>
  <sheetFormatPr defaultRowHeight="14.4" x14ac:dyDescent="0.3"/>
  <cols>
    <col min="1" max="1" width="30" bestFit="1" customWidth="1"/>
    <col min="3" max="3" width="16.44140625" customWidth="1"/>
    <col min="4" max="4" width="9.33203125" customWidth="1"/>
    <col min="5" max="5" width="9.44140625" customWidth="1"/>
    <col min="6" max="6" width="9.33203125" customWidth="1"/>
    <col min="7" max="8" width="9.5546875" customWidth="1"/>
  </cols>
  <sheetData>
    <row r="1" spans="1:8" x14ac:dyDescent="0.3">
      <c r="A1" s="6"/>
    </row>
    <row r="2" spans="1:8" x14ac:dyDescent="0.3">
      <c r="A2" s="6"/>
    </row>
    <row r="6" spans="1:8" x14ac:dyDescent="0.3">
      <c r="A6" s="24" t="s">
        <v>597</v>
      </c>
      <c r="B6" s="18"/>
      <c r="C6" s="18"/>
      <c r="D6" s="22" t="s">
        <v>1</v>
      </c>
      <c r="E6" s="22" t="s">
        <v>901</v>
      </c>
      <c r="F6" s="23" t="s">
        <v>2</v>
      </c>
      <c r="G6" s="22" t="s">
        <v>3</v>
      </c>
      <c r="H6" s="23" t="s">
        <v>3</v>
      </c>
    </row>
    <row r="7" spans="1:8" x14ac:dyDescent="0.3">
      <c r="A7" s="18"/>
      <c r="B7" s="18"/>
      <c r="C7" s="18"/>
      <c r="D7" s="22">
        <v>2022</v>
      </c>
      <c r="E7" s="22">
        <v>2023</v>
      </c>
      <c r="F7" s="23">
        <v>2024</v>
      </c>
      <c r="G7" s="22" t="s">
        <v>894</v>
      </c>
      <c r="H7" s="23" t="s">
        <v>902</v>
      </c>
    </row>
    <row r="8" spans="1:8" x14ac:dyDescent="0.3">
      <c r="A8" s="18" t="s">
        <v>598</v>
      </c>
      <c r="B8" s="18" t="s">
        <v>611</v>
      </c>
      <c r="C8" s="18"/>
      <c r="D8" s="123">
        <v>0</v>
      </c>
      <c r="E8" s="123">
        <v>70000</v>
      </c>
      <c r="F8" s="124">
        <v>25000</v>
      </c>
      <c r="G8" s="41" t="e">
        <f>(E8-D8)/D8</f>
        <v>#DIV/0!</v>
      </c>
      <c r="H8" s="27">
        <f>(F8-E8)/E8</f>
        <v>-0.6428571428571429</v>
      </c>
    </row>
    <row r="9" spans="1:8" x14ac:dyDescent="0.3">
      <c r="A9" s="18" t="s">
        <v>598</v>
      </c>
      <c r="B9" s="18" t="s">
        <v>612</v>
      </c>
      <c r="C9" s="18"/>
      <c r="D9" s="123">
        <v>0</v>
      </c>
      <c r="E9" s="123">
        <v>0</v>
      </c>
      <c r="F9" s="124">
        <v>0</v>
      </c>
      <c r="G9" s="41" t="e">
        <f t="shared" ref="G9:G22" si="0">(E9-D9)/D9</f>
        <v>#DIV/0!</v>
      </c>
      <c r="H9" s="27" t="e">
        <f t="shared" ref="H9:H22" si="1">(F9-E9)/E9</f>
        <v>#DIV/0!</v>
      </c>
    </row>
    <row r="10" spans="1:8" x14ac:dyDescent="0.3">
      <c r="A10" s="18" t="s">
        <v>599</v>
      </c>
      <c r="B10" s="18" t="s">
        <v>613</v>
      </c>
      <c r="C10" s="18"/>
      <c r="D10" s="123">
        <v>75000</v>
      </c>
      <c r="E10" s="123">
        <v>30000</v>
      </c>
      <c r="F10" s="124">
        <v>35000</v>
      </c>
      <c r="G10" s="41">
        <f t="shared" si="0"/>
        <v>-0.6</v>
      </c>
      <c r="H10" s="27">
        <f t="shared" si="1"/>
        <v>0.16666666666666666</v>
      </c>
    </row>
    <row r="11" spans="1:8" x14ac:dyDescent="0.3">
      <c r="A11" s="18" t="s">
        <v>600</v>
      </c>
      <c r="B11" s="18" t="s">
        <v>623</v>
      </c>
      <c r="C11" s="18"/>
      <c r="D11" s="123">
        <v>0</v>
      </c>
      <c r="E11" s="123">
        <v>0</v>
      </c>
      <c r="F11" s="124">
        <v>0</v>
      </c>
      <c r="G11" s="41" t="e">
        <f t="shared" si="0"/>
        <v>#DIV/0!</v>
      </c>
      <c r="H11" s="27" t="e">
        <f t="shared" si="1"/>
        <v>#DIV/0!</v>
      </c>
    </row>
    <row r="12" spans="1:8" x14ac:dyDescent="0.3">
      <c r="A12" s="18" t="s">
        <v>601</v>
      </c>
      <c r="B12" s="18" t="s">
        <v>614</v>
      </c>
      <c r="C12" s="18"/>
      <c r="D12" s="123">
        <v>0</v>
      </c>
      <c r="E12" s="123">
        <v>0</v>
      </c>
      <c r="F12" s="124">
        <v>0</v>
      </c>
      <c r="G12" s="41" t="e">
        <f t="shared" si="0"/>
        <v>#DIV/0!</v>
      </c>
      <c r="H12" s="27" t="e">
        <f t="shared" si="1"/>
        <v>#DIV/0!</v>
      </c>
    </row>
    <row r="13" spans="1:8" x14ac:dyDescent="0.3">
      <c r="A13" s="18" t="s">
        <v>602</v>
      </c>
      <c r="B13" s="18" t="s">
        <v>839</v>
      </c>
      <c r="C13" s="18"/>
      <c r="D13" s="123">
        <v>0</v>
      </c>
      <c r="E13" s="123">
        <v>0</v>
      </c>
      <c r="F13" s="124">
        <v>0</v>
      </c>
      <c r="G13" s="41" t="e">
        <f t="shared" si="0"/>
        <v>#DIV/0!</v>
      </c>
      <c r="H13" s="27" t="e">
        <f t="shared" si="1"/>
        <v>#DIV/0!</v>
      </c>
    </row>
    <row r="14" spans="1:8" x14ac:dyDescent="0.3">
      <c r="A14" s="18" t="s">
        <v>603</v>
      </c>
      <c r="B14" s="18" t="s">
        <v>615</v>
      </c>
      <c r="C14" s="18"/>
      <c r="D14" s="123">
        <v>0</v>
      </c>
      <c r="E14" s="123">
        <v>0</v>
      </c>
      <c r="F14" s="124">
        <v>0</v>
      </c>
      <c r="G14" s="41" t="e">
        <f t="shared" si="0"/>
        <v>#DIV/0!</v>
      </c>
      <c r="H14" s="27" t="e">
        <f t="shared" si="1"/>
        <v>#DIV/0!</v>
      </c>
    </row>
    <row r="15" spans="1:8" x14ac:dyDescent="0.3">
      <c r="A15" s="18" t="s">
        <v>604</v>
      </c>
      <c r="B15" s="18" t="s">
        <v>616</v>
      </c>
      <c r="C15" s="18"/>
      <c r="D15" s="123">
        <v>0</v>
      </c>
      <c r="E15" s="123">
        <v>0</v>
      </c>
      <c r="F15" s="124">
        <v>0</v>
      </c>
      <c r="G15" s="41" t="e">
        <f t="shared" si="0"/>
        <v>#DIV/0!</v>
      </c>
      <c r="H15" s="27" t="e">
        <f t="shared" si="1"/>
        <v>#DIV/0!</v>
      </c>
    </row>
    <row r="16" spans="1:8" x14ac:dyDescent="0.3">
      <c r="A16" s="18" t="s">
        <v>605</v>
      </c>
      <c r="B16" s="18" t="s">
        <v>617</v>
      </c>
      <c r="C16" s="18"/>
      <c r="D16" s="123">
        <v>0</v>
      </c>
      <c r="E16" s="123">
        <v>0</v>
      </c>
      <c r="F16" s="124">
        <v>0</v>
      </c>
      <c r="G16" s="41" t="e">
        <f t="shared" si="0"/>
        <v>#DIV/0!</v>
      </c>
      <c r="H16" s="27" t="e">
        <f t="shared" si="1"/>
        <v>#DIV/0!</v>
      </c>
    </row>
    <row r="17" spans="1:8" x14ac:dyDescent="0.3">
      <c r="A17" s="18" t="s">
        <v>606</v>
      </c>
      <c r="B17" s="18" t="s">
        <v>618</v>
      </c>
      <c r="C17" s="18"/>
      <c r="D17" s="123">
        <v>150000</v>
      </c>
      <c r="E17" s="123">
        <v>25000</v>
      </c>
      <c r="F17" s="124">
        <v>140000</v>
      </c>
      <c r="G17" s="41">
        <f t="shared" si="0"/>
        <v>-0.83333333333333337</v>
      </c>
      <c r="H17" s="27">
        <f t="shared" si="1"/>
        <v>4.5999999999999996</v>
      </c>
    </row>
    <row r="18" spans="1:8" x14ac:dyDescent="0.3">
      <c r="A18" s="18" t="s">
        <v>607</v>
      </c>
      <c r="B18" s="18" t="s">
        <v>619</v>
      </c>
      <c r="C18" s="18"/>
      <c r="D18" s="123">
        <v>0</v>
      </c>
      <c r="E18" s="123">
        <v>0</v>
      </c>
      <c r="F18" s="124">
        <v>0</v>
      </c>
      <c r="G18" s="41" t="e">
        <f t="shared" si="0"/>
        <v>#DIV/0!</v>
      </c>
      <c r="H18" s="27" t="e">
        <f t="shared" si="1"/>
        <v>#DIV/0!</v>
      </c>
    </row>
    <row r="19" spans="1:8" x14ac:dyDescent="0.3">
      <c r="A19" s="18" t="s">
        <v>608</v>
      </c>
      <c r="B19" s="18" t="s">
        <v>620</v>
      </c>
      <c r="C19" s="18"/>
      <c r="D19" s="123">
        <v>0</v>
      </c>
      <c r="E19" s="123">
        <v>0</v>
      </c>
      <c r="F19" s="124">
        <v>0</v>
      </c>
      <c r="G19" s="41" t="e">
        <f t="shared" si="0"/>
        <v>#DIV/0!</v>
      </c>
      <c r="H19" s="27" t="e">
        <f t="shared" si="1"/>
        <v>#DIV/0!</v>
      </c>
    </row>
    <row r="20" spans="1:8" x14ac:dyDescent="0.3">
      <c r="A20" s="18" t="s">
        <v>609</v>
      </c>
      <c r="B20" s="18" t="s">
        <v>621</v>
      </c>
      <c r="C20" s="18"/>
      <c r="D20" s="123">
        <v>0</v>
      </c>
      <c r="E20" s="123">
        <v>0</v>
      </c>
      <c r="F20" s="124">
        <v>0</v>
      </c>
      <c r="G20" s="41" t="e">
        <f t="shared" si="0"/>
        <v>#DIV/0!</v>
      </c>
      <c r="H20" s="27" t="e">
        <f t="shared" si="1"/>
        <v>#DIV/0!</v>
      </c>
    </row>
    <row r="21" spans="1:8" x14ac:dyDescent="0.3">
      <c r="A21" s="18" t="s">
        <v>610</v>
      </c>
      <c r="B21" s="18" t="s">
        <v>622</v>
      </c>
      <c r="C21" s="18"/>
      <c r="D21" s="123">
        <v>0</v>
      </c>
      <c r="E21" s="123">
        <v>0</v>
      </c>
      <c r="F21" s="124">
        <v>0</v>
      </c>
      <c r="G21" s="41" t="e">
        <f t="shared" si="0"/>
        <v>#DIV/0!</v>
      </c>
      <c r="H21" s="27" t="e">
        <f t="shared" si="1"/>
        <v>#DIV/0!</v>
      </c>
    </row>
    <row r="22" spans="1:8" x14ac:dyDescent="0.3">
      <c r="A22" s="18"/>
      <c r="B22" s="18" t="s">
        <v>7</v>
      </c>
      <c r="C22" s="18"/>
      <c r="D22" s="125">
        <f>SUM(D8:D21)</f>
        <v>225000</v>
      </c>
      <c r="E22" s="125">
        <f>SUM(E8:E21)</f>
        <v>125000</v>
      </c>
      <c r="F22" s="126">
        <f>SUM(F8:F21)</f>
        <v>200000</v>
      </c>
      <c r="G22" s="42">
        <f t="shared" si="0"/>
        <v>-0.44444444444444442</v>
      </c>
      <c r="H22" s="29">
        <f t="shared" si="1"/>
        <v>0.6</v>
      </c>
    </row>
    <row r="24" spans="1:8" x14ac:dyDescent="0.3">
      <c r="A24" s="24" t="s">
        <v>624</v>
      </c>
      <c r="B24" s="18"/>
      <c r="C24" s="18"/>
      <c r="D24" s="22" t="s">
        <v>1</v>
      </c>
      <c r="E24" s="22" t="s">
        <v>901</v>
      </c>
      <c r="F24" s="23" t="s">
        <v>2</v>
      </c>
      <c r="G24" s="22" t="s">
        <v>3</v>
      </c>
      <c r="H24" s="23" t="s">
        <v>3</v>
      </c>
    </row>
    <row r="25" spans="1:8" x14ac:dyDescent="0.3">
      <c r="A25" s="18"/>
      <c r="B25" s="18"/>
      <c r="C25" s="18"/>
      <c r="D25" s="22">
        <v>2022</v>
      </c>
      <c r="E25" s="22">
        <v>2023</v>
      </c>
      <c r="F25" s="23">
        <v>2024</v>
      </c>
      <c r="G25" s="22" t="s">
        <v>894</v>
      </c>
      <c r="H25" s="23" t="s">
        <v>902</v>
      </c>
    </row>
    <row r="26" spans="1:8" x14ac:dyDescent="0.3">
      <c r="A26" s="18" t="s">
        <v>7</v>
      </c>
      <c r="B26" s="18"/>
      <c r="C26" s="18"/>
      <c r="D26" s="125">
        <f>(D22)</f>
        <v>225000</v>
      </c>
      <c r="E26" s="125">
        <f>(E22)</f>
        <v>125000</v>
      </c>
      <c r="F26" s="126">
        <f>(F22)</f>
        <v>200000</v>
      </c>
      <c r="G26" s="42">
        <f>(E26-D26)/D26</f>
        <v>-0.44444444444444442</v>
      </c>
      <c r="H26" s="29">
        <f>(F26-E26)/E26</f>
        <v>0.6</v>
      </c>
    </row>
    <row r="44" spans="3:4" x14ac:dyDescent="0.3">
      <c r="D44" s="6" t="s">
        <v>883</v>
      </c>
    </row>
    <row r="46" spans="3:4" x14ac:dyDescent="0.3">
      <c r="C46" s="6"/>
    </row>
  </sheetData>
  <printOptions gridLines="1"/>
  <pageMargins left="1" right="1" top="1" bottom="1" header="0.5" footer="0.5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4"/>
  <sheetViews>
    <sheetView view="pageLayout" zoomScaleNormal="80" workbookViewId="0">
      <selection activeCell="F10" sqref="F10"/>
    </sheetView>
  </sheetViews>
  <sheetFormatPr defaultRowHeight="14.4" x14ac:dyDescent="0.3"/>
  <cols>
    <col min="5" max="5" width="10" customWidth="1"/>
    <col min="6" max="6" width="9.44140625" customWidth="1"/>
    <col min="7" max="7" width="9.5546875" customWidth="1"/>
    <col min="8" max="8" width="9.44140625" customWidth="1"/>
    <col min="9" max="9" width="9.5546875" customWidth="1"/>
  </cols>
  <sheetData>
    <row r="1" spans="1:14" x14ac:dyDescent="0.3">
      <c r="A1" s="6"/>
    </row>
    <row r="7" spans="1:14" x14ac:dyDescent="0.3">
      <c r="A7" s="24" t="s">
        <v>629</v>
      </c>
      <c r="B7" s="18"/>
      <c r="C7" s="18"/>
      <c r="D7" s="22" t="s">
        <v>1</v>
      </c>
      <c r="E7" s="22" t="s">
        <v>901</v>
      </c>
      <c r="F7" s="23" t="s">
        <v>2</v>
      </c>
      <c r="G7" s="22" t="s">
        <v>3</v>
      </c>
      <c r="H7" s="23" t="s">
        <v>3</v>
      </c>
      <c r="N7" s="6"/>
    </row>
    <row r="8" spans="1:14" x14ac:dyDescent="0.3">
      <c r="A8" s="18"/>
      <c r="B8" s="18"/>
      <c r="C8" s="18"/>
      <c r="D8" s="22">
        <v>2022</v>
      </c>
      <c r="E8" s="22">
        <v>2023</v>
      </c>
      <c r="F8" s="23">
        <v>2024</v>
      </c>
      <c r="G8" s="22" t="s">
        <v>894</v>
      </c>
      <c r="H8" s="23" t="s">
        <v>902</v>
      </c>
    </row>
    <row r="9" spans="1:14" x14ac:dyDescent="0.3">
      <c r="A9" s="18" t="s">
        <v>630</v>
      </c>
      <c r="B9" s="18" t="s">
        <v>633</v>
      </c>
      <c r="C9" s="18"/>
      <c r="D9" s="21">
        <v>5000</v>
      </c>
      <c r="E9" s="21">
        <v>5000</v>
      </c>
      <c r="F9" s="124">
        <v>5000</v>
      </c>
      <c r="G9" s="41">
        <f>(E9-D9)/D9</f>
        <v>0</v>
      </c>
      <c r="H9" s="27">
        <f>(F9-E9)/E9</f>
        <v>0</v>
      </c>
    </row>
    <row r="10" spans="1:14" x14ac:dyDescent="0.3">
      <c r="A10" s="18" t="s">
        <v>631</v>
      </c>
      <c r="B10" s="18" t="s">
        <v>634</v>
      </c>
      <c r="C10" s="18"/>
      <c r="D10" s="21">
        <v>100000</v>
      </c>
      <c r="E10" s="21">
        <v>100000</v>
      </c>
      <c r="F10" s="124">
        <v>100000</v>
      </c>
      <c r="G10" s="41">
        <f>(E10-D10)/D10</f>
        <v>0</v>
      </c>
      <c r="H10" s="27">
        <f t="shared" ref="H10:H12" si="0">(F10-E10)/E10</f>
        <v>0</v>
      </c>
    </row>
    <row r="11" spans="1:14" x14ac:dyDescent="0.3">
      <c r="A11" s="18" t="s">
        <v>632</v>
      </c>
      <c r="B11" s="18" t="s">
        <v>635</v>
      </c>
      <c r="C11" s="18"/>
      <c r="D11" s="18">
        <v>0</v>
      </c>
      <c r="E11" s="18">
        <v>0</v>
      </c>
      <c r="F11" s="124">
        <v>0</v>
      </c>
      <c r="G11" s="41" t="e">
        <f>(E11-D11)/D11</f>
        <v>#DIV/0!</v>
      </c>
      <c r="H11" s="27" t="e">
        <f t="shared" si="0"/>
        <v>#DIV/0!</v>
      </c>
    </row>
    <row r="12" spans="1:14" x14ac:dyDescent="0.3">
      <c r="A12" s="18"/>
      <c r="B12" s="24" t="s">
        <v>7</v>
      </c>
      <c r="C12" s="24"/>
      <c r="D12" s="25">
        <f>SUM(D9:D11)</f>
        <v>105000</v>
      </c>
      <c r="E12" s="25">
        <f>SUM(E9:E11)</f>
        <v>105000</v>
      </c>
      <c r="F12" s="126">
        <f>SUM(F9:F11)</f>
        <v>105000</v>
      </c>
      <c r="G12" s="42">
        <f>(E12-D12)/D12</f>
        <v>0</v>
      </c>
      <c r="H12" s="29">
        <f t="shared" si="0"/>
        <v>0</v>
      </c>
    </row>
    <row r="13" spans="1:14" x14ac:dyDescent="0.3">
      <c r="D13" s="18"/>
    </row>
    <row r="14" spans="1:14" x14ac:dyDescent="0.3">
      <c r="A14" s="24" t="s">
        <v>636</v>
      </c>
      <c r="B14" s="18"/>
      <c r="C14" s="18"/>
      <c r="D14" s="22" t="s">
        <v>1</v>
      </c>
      <c r="E14" s="22" t="s">
        <v>901</v>
      </c>
      <c r="F14" s="23" t="s">
        <v>2</v>
      </c>
      <c r="G14" s="22" t="s">
        <v>3</v>
      </c>
      <c r="H14" s="23" t="s">
        <v>3</v>
      </c>
    </row>
    <row r="15" spans="1:14" x14ac:dyDescent="0.3">
      <c r="A15" s="18"/>
      <c r="B15" s="18"/>
      <c r="C15" s="18"/>
      <c r="D15" s="22">
        <v>2022</v>
      </c>
      <c r="E15" s="22">
        <v>2023</v>
      </c>
      <c r="F15" s="23">
        <v>2024</v>
      </c>
      <c r="G15" s="22" t="s">
        <v>894</v>
      </c>
      <c r="H15" s="23" t="s">
        <v>902</v>
      </c>
    </row>
    <row r="16" spans="1:14" x14ac:dyDescent="0.3">
      <c r="A16" s="18" t="s">
        <v>584</v>
      </c>
      <c r="B16" s="18" t="s">
        <v>637</v>
      </c>
      <c r="C16" s="18"/>
      <c r="D16" s="21">
        <v>120000</v>
      </c>
      <c r="E16" s="21">
        <v>201453.4</v>
      </c>
      <c r="F16" s="124">
        <v>202000</v>
      </c>
      <c r="G16" s="41">
        <f>(E16-D16)/D16</f>
        <v>0.67877833333333326</v>
      </c>
      <c r="H16" s="27">
        <f>(F16-E16)/E16</f>
        <v>2.7132825755236986E-3</v>
      </c>
    </row>
    <row r="17" spans="1:8" x14ac:dyDescent="0.3">
      <c r="A17" s="18" t="s">
        <v>585</v>
      </c>
      <c r="B17" s="18" t="s">
        <v>638</v>
      </c>
      <c r="C17" s="18"/>
      <c r="D17" s="21">
        <v>10000</v>
      </c>
      <c r="E17" s="21">
        <v>7748.95</v>
      </c>
      <c r="F17" s="124">
        <v>7750</v>
      </c>
      <c r="G17" s="41">
        <f>(E17-D17)/D17</f>
        <v>-0.22510500000000003</v>
      </c>
      <c r="H17" s="27">
        <f t="shared" ref="H17:H18" si="1">(F17-E17)/E17</f>
        <v>1.3550222933432038E-4</v>
      </c>
    </row>
    <row r="18" spans="1:8" x14ac:dyDescent="0.3">
      <c r="A18" s="18"/>
      <c r="B18" s="24" t="s">
        <v>7</v>
      </c>
      <c r="C18" s="24"/>
      <c r="D18" s="25">
        <f>SUM(D16:D17)</f>
        <v>130000</v>
      </c>
      <c r="E18" s="25">
        <f>SUM(E16:E17)</f>
        <v>209202.35</v>
      </c>
      <c r="F18" s="126">
        <f>SUM(F16:F17)</f>
        <v>209750</v>
      </c>
      <c r="G18" s="42">
        <f>(E18-D18)/D18</f>
        <v>0.60924884615384622</v>
      </c>
      <c r="H18" s="29">
        <f t="shared" si="1"/>
        <v>2.6178004214579527E-3</v>
      </c>
    </row>
    <row r="19" spans="1:8" x14ac:dyDescent="0.3">
      <c r="D19" s="18"/>
    </row>
    <row r="20" spans="1:8" x14ac:dyDescent="0.3">
      <c r="A20" s="24" t="s">
        <v>639</v>
      </c>
      <c r="B20" s="18"/>
      <c r="C20" s="18"/>
      <c r="D20" s="22" t="s">
        <v>1</v>
      </c>
      <c r="E20" s="22" t="s">
        <v>901</v>
      </c>
      <c r="F20" s="23" t="s">
        <v>2</v>
      </c>
      <c r="G20" s="22" t="s">
        <v>3</v>
      </c>
      <c r="H20" s="23" t="s">
        <v>3</v>
      </c>
    </row>
    <row r="21" spans="1:8" x14ac:dyDescent="0.3">
      <c r="A21" s="18"/>
      <c r="B21" s="18"/>
      <c r="C21" s="18"/>
      <c r="D21" s="22">
        <v>2022</v>
      </c>
      <c r="E21" s="22">
        <v>2023</v>
      </c>
      <c r="F21" s="23">
        <v>2024</v>
      </c>
      <c r="G21" s="22" t="s">
        <v>894</v>
      </c>
      <c r="H21" s="23" t="s">
        <v>902</v>
      </c>
    </row>
    <row r="22" spans="1:8" x14ac:dyDescent="0.3">
      <c r="A22" s="18"/>
      <c r="B22" s="24" t="s">
        <v>7</v>
      </c>
      <c r="C22" s="24"/>
      <c r="D22" s="25">
        <f>(D12+D18)</f>
        <v>235000</v>
      </c>
      <c r="E22" s="25">
        <f>(E12+E18)</f>
        <v>314202.34999999998</v>
      </c>
      <c r="F22" s="71">
        <f>(F12+F18)</f>
        <v>314750</v>
      </c>
      <c r="G22" s="42">
        <f>(E22-D22)/D22</f>
        <v>0.33703127659574456</v>
      </c>
      <c r="H22" s="29">
        <f>(F22-E22)/E22</f>
        <v>1.7429850540583904E-3</v>
      </c>
    </row>
    <row r="44" spans="5:5" x14ac:dyDescent="0.3">
      <c r="E44" s="6" t="s">
        <v>884</v>
      </c>
    </row>
  </sheetData>
  <printOptions gridLines="1"/>
  <pageMargins left="1" right="1" top="1" bottom="1" header="0.5" footer="0.5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4"/>
  <sheetViews>
    <sheetView view="pageLayout" zoomScale="90" zoomScaleNormal="60" zoomScaleSheetLayoutView="40" zoomScalePageLayoutView="90" workbookViewId="0">
      <selection activeCell="F17" sqref="F17"/>
    </sheetView>
  </sheetViews>
  <sheetFormatPr defaultRowHeight="14.4" x14ac:dyDescent="0.3"/>
  <cols>
    <col min="4" max="4" width="10.44140625" bestFit="1" customWidth="1"/>
    <col min="5" max="5" width="9.6640625" customWidth="1"/>
    <col min="6" max="6" width="9.44140625" customWidth="1"/>
    <col min="7" max="7" width="9.6640625" customWidth="1"/>
    <col min="8" max="8" width="9.5546875" customWidth="1"/>
  </cols>
  <sheetData>
    <row r="1" spans="1:10" x14ac:dyDescent="0.3">
      <c r="A1" s="6"/>
    </row>
    <row r="5" spans="1:10" x14ac:dyDescent="0.3">
      <c r="J5" s="6"/>
    </row>
    <row r="6" spans="1:10" x14ac:dyDescent="0.3">
      <c r="A6" s="24" t="s">
        <v>640</v>
      </c>
      <c r="B6" s="18"/>
      <c r="C6" s="18"/>
      <c r="D6" s="22" t="s">
        <v>1</v>
      </c>
      <c r="E6" s="22" t="s">
        <v>901</v>
      </c>
      <c r="F6" s="23" t="s">
        <v>2</v>
      </c>
      <c r="G6" s="22" t="s">
        <v>3</v>
      </c>
      <c r="H6" s="23" t="s">
        <v>3</v>
      </c>
    </row>
    <row r="7" spans="1:10" x14ac:dyDescent="0.3">
      <c r="A7" s="18"/>
      <c r="B7" s="18"/>
      <c r="C7" s="18"/>
      <c r="D7" s="22">
        <v>2022</v>
      </c>
      <c r="E7" s="22">
        <v>2023</v>
      </c>
      <c r="F7" s="23">
        <v>2024</v>
      </c>
      <c r="G7" s="22" t="s">
        <v>894</v>
      </c>
      <c r="H7" s="23" t="s">
        <v>902</v>
      </c>
    </row>
    <row r="8" spans="1:10" x14ac:dyDescent="0.3">
      <c r="A8" s="18" t="s">
        <v>641</v>
      </c>
      <c r="B8" s="18" t="s">
        <v>649</v>
      </c>
      <c r="C8" s="18"/>
      <c r="D8" s="123">
        <v>0</v>
      </c>
      <c r="E8" s="123">
        <v>0</v>
      </c>
      <c r="F8" s="124">
        <v>0</v>
      </c>
      <c r="G8" s="41" t="e">
        <f>(E8-D8)/D8</f>
        <v>#DIV/0!</v>
      </c>
      <c r="H8" s="27" t="e">
        <f>(F8-E8)/E8</f>
        <v>#DIV/0!</v>
      </c>
    </row>
    <row r="9" spans="1:10" x14ac:dyDescent="0.3">
      <c r="A9" s="18" t="s">
        <v>642</v>
      </c>
      <c r="B9" s="18" t="s">
        <v>650</v>
      </c>
      <c r="C9" s="18"/>
      <c r="D9" s="123">
        <v>0</v>
      </c>
      <c r="E9" s="123">
        <v>0</v>
      </c>
      <c r="F9" s="124">
        <v>0</v>
      </c>
      <c r="G9" s="41" t="e">
        <f t="shared" ref="G9:G18" si="0">(E9-D9)/D9</f>
        <v>#DIV/0!</v>
      </c>
      <c r="H9" s="27" t="e">
        <f t="shared" ref="H9:H18" si="1">(F9-E9)/E9</f>
        <v>#DIV/0!</v>
      </c>
    </row>
    <row r="10" spans="1:10" x14ac:dyDescent="0.3">
      <c r="A10" s="18" t="s">
        <v>643</v>
      </c>
      <c r="B10" s="18" t="s">
        <v>306</v>
      </c>
      <c r="C10" s="18"/>
      <c r="D10" s="123">
        <v>0</v>
      </c>
      <c r="E10" s="123">
        <v>0</v>
      </c>
      <c r="F10" s="124">
        <v>0</v>
      </c>
      <c r="G10" s="41" t="e">
        <f t="shared" si="0"/>
        <v>#DIV/0!</v>
      </c>
      <c r="H10" s="27" t="e">
        <f t="shared" si="1"/>
        <v>#DIV/0!</v>
      </c>
    </row>
    <row r="11" spans="1:10" x14ac:dyDescent="0.3">
      <c r="A11" s="18" t="s">
        <v>644</v>
      </c>
      <c r="B11" s="18" t="s">
        <v>307</v>
      </c>
      <c r="C11" s="18"/>
      <c r="D11" s="123">
        <v>0</v>
      </c>
      <c r="E11" s="123">
        <v>0</v>
      </c>
      <c r="F11" s="124">
        <v>0</v>
      </c>
      <c r="G11" s="41" t="e">
        <f t="shared" si="0"/>
        <v>#DIV/0!</v>
      </c>
      <c r="H11" s="27" t="e">
        <f t="shared" si="1"/>
        <v>#DIV/0!</v>
      </c>
    </row>
    <row r="12" spans="1:10" x14ac:dyDescent="0.3">
      <c r="A12" s="18" t="s">
        <v>645</v>
      </c>
      <c r="B12" s="18" t="s">
        <v>651</v>
      </c>
      <c r="C12" s="18"/>
      <c r="D12" s="123">
        <v>0</v>
      </c>
      <c r="E12" s="123">
        <v>0</v>
      </c>
      <c r="F12" s="124">
        <v>0</v>
      </c>
      <c r="G12" s="41" t="e">
        <f t="shared" si="0"/>
        <v>#DIV/0!</v>
      </c>
      <c r="H12" s="27" t="e">
        <f t="shared" si="1"/>
        <v>#DIV/0!</v>
      </c>
    </row>
    <row r="13" spans="1:10" x14ac:dyDescent="0.3">
      <c r="A13" s="18" t="s">
        <v>625</v>
      </c>
      <c r="B13" s="18" t="s">
        <v>652</v>
      </c>
      <c r="C13" s="18"/>
      <c r="D13" s="123">
        <v>7500</v>
      </c>
      <c r="E13" s="123">
        <v>5000</v>
      </c>
      <c r="F13" s="124">
        <v>5000</v>
      </c>
      <c r="G13" s="41">
        <f t="shared" si="0"/>
        <v>-0.33333333333333331</v>
      </c>
      <c r="H13" s="27">
        <f t="shared" si="1"/>
        <v>0</v>
      </c>
    </row>
    <row r="14" spans="1:10" x14ac:dyDescent="0.3">
      <c r="A14" s="18" t="s">
        <v>646</v>
      </c>
      <c r="B14" s="18" t="s">
        <v>653</v>
      </c>
      <c r="C14" s="18"/>
      <c r="D14" s="123">
        <v>15000</v>
      </c>
      <c r="E14" s="123">
        <v>15000</v>
      </c>
      <c r="F14" s="124">
        <v>7500</v>
      </c>
      <c r="G14" s="41">
        <f t="shared" si="0"/>
        <v>0</v>
      </c>
      <c r="H14" s="27">
        <f t="shared" si="1"/>
        <v>-0.5</v>
      </c>
    </row>
    <row r="15" spans="1:10" x14ac:dyDescent="0.3">
      <c r="A15" s="18" t="s">
        <v>626</v>
      </c>
      <c r="B15" s="18" t="s">
        <v>628</v>
      </c>
      <c r="C15" s="18"/>
      <c r="D15" s="123">
        <v>6000</v>
      </c>
      <c r="E15" s="123">
        <v>6000</v>
      </c>
      <c r="F15" s="124">
        <v>6000</v>
      </c>
      <c r="G15" s="41">
        <f t="shared" si="0"/>
        <v>0</v>
      </c>
      <c r="H15" s="27">
        <f t="shared" si="1"/>
        <v>0</v>
      </c>
    </row>
    <row r="16" spans="1:10" x14ac:dyDescent="0.3">
      <c r="A16" s="18" t="s">
        <v>647</v>
      </c>
      <c r="B16" s="18" t="s">
        <v>654</v>
      </c>
      <c r="C16" s="18"/>
      <c r="D16" s="123">
        <v>0</v>
      </c>
      <c r="E16" s="123">
        <v>0</v>
      </c>
      <c r="F16" s="124">
        <v>0</v>
      </c>
      <c r="G16" s="41" t="e">
        <f t="shared" si="0"/>
        <v>#DIV/0!</v>
      </c>
      <c r="H16" s="27" t="e">
        <f t="shared" si="1"/>
        <v>#DIV/0!</v>
      </c>
    </row>
    <row r="17" spans="1:8" x14ac:dyDescent="0.3">
      <c r="A17" s="18" t="s">
        <v>648</v>
      </c>
      <c r="B17" s="18" t="s">
        <v>655</v>
      </c>
      <c r="C17" s="18"/>
      <c r="D17" s="123">
        <v>0</v>
      </c>
      <c r="E17" s="123">
        <v>0</v>
      </c>
      <c r="F17" s="124">
        <v>0</v>
      </c>
      <c r="G17" s="41" t="e">
        <f t="shared" si="0"/>
        <v>#DIV/0!</v>
      </c>
      <c r="H17" s="27" t="e">
        <f t="shared" si="1"/>
        <v>#DIV/0!</v>
      </c>
    </row>
    <row r="18" spans="1:8" x14ac:dyDescent="0.3">
      <c r="A18" s="18"/>
      <c r="B18" s="24" t="s">
        <v>7</v>
      </c>
      <c r="C18" s="24"/>
      <c r="D18" s="125">
        <f>SUM(D8:D17)</f>
        <v>28500</v>
      </c>
      <c r="E18" s="125">
        <f>SUM(E8:E17)</f>
        <v>26000</v>
      </c>
      <c r="F18" s="126">
        <f>SUM(F8:F17)</f>
        <v>18500</v>
      </c>
      <c r="G18" s="42">
        <f t="shared" si="0"/>
        <v>-8.771929824561403E-2</v>
      </c>
      <c r="H18" s="29">
        <f t="shared" si="1"/>
        <v>-0.28846153846153844</v>
      </c>
    </row>
    <row r="19" spans="1:8" x14ac:dyDescent="0.3">
      <c r="D19" s="18"/>
    </row>
    <row r="20" spans="1:8" x14ac:dyDescent="0.3">
      <c r="D20" s="18"/>
    </row>
    <row r="21" spans="1:8" x14ac:dyDescent="0.3">
      <c r="A21" s="24" t="s">
        <v>656</v>
      </c>
      <c r="B21" s="18"/>
      <c r="C21" s="18"/>
      <c r="D21" s="22" t="s">
        <v>1</v>
      </c>
      <c r="E21" s="22" t="s">
        <v>901</v>
      </c>
      <c r="F21" s="23" t="s">
        <v>2</v>
      </c>
      <c r="G21" s="22" t="s">
        <v>3</v>
      </c>
      <c r="H21" s="23" t="s">
        <v>3</v>
      </c>
    </row>
    <row r="22" spans="1:8" x14ac:dyDescent="0.3">
      <c r="A22" s="18"/>
      <c r="B22" s="18"/>
      <c r="C22" s="18"/>
      <c r="D22" s="22">
        <v>2022</v>
      </c>
      <c r="E22" s="22">
        <v>2023</v>
      </c>
      <c r="F22" s="23">
        <v>2024</v>
      </c>
      <c r="G22" s="22" t="s">
        <v>894</v>
      </c>
      <c r="H22" s="23" t="s">
        <v>902</v>
      </c>
    </row>
    <row r="23" spans="1:8" x14ac:dyDescent="0.3">
      <c r="A23" s="18"/>
      <c r="B23" s="24" t="s">
        <v>7</v>
      </c>
      <c r="C23" s="24"/>
      <c r="D23" s="125">
        <f>(D18)</f>
        <v>28500</v>
      </c>
      <c r="E23" s="125">
        <f>(E18)</f>
        <v>26000</v>
      </c>
      <c r="F23" s="126">
        <f>(F18)</f>
        <v>18500</v>
      </c>
      <c r="G23" s="42">
        <f>(E23-D23)/D23</f>
        <v>-8.771929824561403E-2</v>
      </c>
      <c r="H23" s="29">
        <f>(F23-E23)/E23</f>
        <v>-0.28846153846153844</v>
      </c>
    </row>
    <row r="44" spans="4:4" x14ac:dyDescent="0.3">
      <c r="D44" s="6" t="s">
        <v>885</v>
      </c>
    </row>
  </sheetData>
  <printOptions gridLines="1"/>
  <pageMargins left="1" right="1" top="1" bottom="1" header="0.5" footer="0.5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4"/>
  <sheetViews>
    <sheetView view="pageLayout" zoomScale="90" zoomScaleNormal="100" zoomScalePageLayoutView="90" workbookViewId="0">
      <selection activeCell="F16" sqref="F16"/>
    </sheetView>
  </sheetViews>
  <sheetFormatPr defaultRowHeight="14.4" x14ac:dyDescent="0.3"/>
  <cols>
    <col min="4" max="4" width="10.44140625" bestFit="1" customWidth="1"/>
    <col min="5" max="6" width="9.44140625" customWidth="1"/>
    <col min="7" max="7" width="9.33203125" customWidth="1"/>
    <col min="8" max="8" width="9.5546875" customWidth="1"/>
    <col min="9" max="9" width="9.33203125" customWidth="1"/>
  </cols>
  <sheetData>
    <row r="1" spans="1:14" x14ac:dyDescent="0.3">
      <c r="A1" s="6"/>
    </row>
    <row r="3" spans="1:14" x14ac:dyDescent="0.3">
      <c r="J3" s="1"/>
      <c r="K3" s="1"/>
    </row>
    <row r="4" spans="1:14" x14ac:dyDescent="0.3">
      <c r="J4" s="1"/>
      <c r="K4" s="1"/>
    </row>
    <row r="5" spans="1:14" x14ac:dyDescent="0.3">
      <c r="J5" s="9"/>
      <c r="K5" s="2"/>
      <c r="N5" s="6"/>
    </row>
    <row r="6" spans="1:14" x14ac:dyDescent="0.3">
      <c r="A6" s="24" t="s">
        <v>657</v>
      </c>
      <c r="B6" s="18"/>
      <c r="C6" s="18"/>
      <c r="D6" s="22" t="s">
        <v>1</v>
      </c>
      <c r="E6" s="22" t="s">
        <v>901</v>
      </c>
      <c r="F6" s="23" t="s">
        <v>2</v>
      </c>
      <c r="G6" s="22" t="s">
        <v>3</v>
      </c>
      <c r="H6" s="23" t="s">
        <v>3</v>
      </c>
      <c r="J6" s="9"/>
      <c r="K6" s="2"/>
    </row>
    <row r="7" spans="1:14" x14ac:dyDescent="0.3">
      <c r="A7" s="18"/>
      <c r="B7" s="18"/>
      <c r="C7" s="18"/>
      <c r="D7" s="22">
        <v>2022</v>
      </c>
      <c r="E7" s="22">
        <v>2023</v>
      </c>
      <c r="F7" s="23">
        <v>2024</v>
      </c>
      <c r="G7" s="22" t="s">
        <v>894</v>
      </c>
      <c r="H7" s="23" t="s">
        <v>902</v>
      </c>
      <c r="J7" s="9"/>
      <c r="K7" s="2"/>
    </row>
    <row r="8" spans="1:14" x14ac:dyDescent="0.3">
      <c r="A8" s="18" t="s">
        <v>584</v>
      </c>
      <c r="B8" s="18" t="s">
        <v>658</v>
      </c>
      <c r="C8" s="18"/>
      <c r="D8" s="123">
        <v>23500</v>
      </c>
      <c r="E8" s="123">
        <v>23500</v>
      </c>
      <c r="F8" s="124">
        <v>23500</v>
      </c>
      <c r="G8" s="41">
        <f>(E8-D8)/D8</f>
        <v>0</v>
      </c>
      <c r="H8" s="27">
        <f>(F8-E8)/E8</f>
        <v>0</v>
      </c>
      <c r="J8" s="9"/>
      <c r="K8" s="2"/>
    </row>
    <row r="9" spans="1:14" x14ac:dyDescent="0.3">
      <c r="A9" s="18" t="s">
        <v>585</v>
      </c>
      <c r="B9" s="18" t="s">
        <v>659</v>
      </c>
      <c r="C9" s="18"/>
      <c r="D9" s="123">
        <v>5800</v>
      </c>
      <c r="E9" s="123">
        <v>5800</v>
      </c>
      <c r="F9" s="124">
        <v>5800</v>
      </c>
      <c r="G9" s="41">
        <f>(E9-D9)/D9</f>
        <v>0</v>
      </c>
      <c r="H9" s="27">
        <f t="shared" ref="H9:H12" si="0">(F9-E9)/E9</f>
        <v>0</v>
      </c>
    </row>
    <row r="10" spans="1:14" x14ac:dyDescent="0.3">
      <c r="A10" s="18" t="s">
        <v>899</v>
      </c>
      <c r="B10" s="18" t="s">
        <v>900</v>
      </c>
      <c r="C10" s="18"/>
      <c r="D10" s="123"/>
      <c r="E10" s="123">
        <v>11250</v>
      </c>
      <c r="F10" s="124">
        <v>11250</v>
      </c>
      <c r="G10" s="18"/>
      <c r="H10" s="27">
        <f t="shared" si="0"/>
        <v>0</v>
      </c>
      <c r="J10" s="1"/>
      <c r="K10" s="1"/>
    </row>
    <row r="11" spans="1:14" x14ac:dyDescent="0.3">
      <c r="A11" s="18" t="s">
        <v>598</v>
      </c>
      <c r="B11" s="18" t="s">
        <v>660</v>
      </c>
      <c r="C11" s="18"/>
      <c r="D11" s="123">
        <v>50000</v>
      </c>
      <c r="E11" s="123">
        <v>0</v>
      </c>
      <c r="F11" s="124">
        <v>0</v>
      </c>
      <c r="G11" s="41">
        <f>(E11-D11)/D11</f>
        <v>-1</v>
      </c>
      <c r="H11" s="27" t="e">
        <f t="shared" si="0"/>
        <v>#DIV/0!</v>
      </c>
      <c r="J11" s="1"/>
      <c r="K11" s="1"/>
    </row>
    <row r="12" spans="1:14" x14ac:dyDescent="0.3">
      <c r="A12" s="18"/>
      <c r="B12" s="24" t="s">
        <v>7</v>
      </c>
      <c r="C12" s="24"/>
      <c r="D12" s="125">
        <f>SUM(D8:D11)</f>
        <v>79300</v>
      </c>
      <c r="E12" s="125">
        <f>SUM(E8:E11)</f>
        <v>40550</v>
      </c>
      <c r="F12" s="126">
        <f>SUM(F8:F11)</f>
        <v>40550</v>
      </c>
      <c r="G12" s="42">
        <f>(E12-D12)/D12</f>
        <v>-0.48865069356872637</v>
      </c>
      <c r="H12" s="29">
        <f t="shared" si="0"/>
        <v>0</v>
      </c>
      <c r="J12" s="2"/>
      <c r="K12" s="5"/>
    </row>
    <row r="14" spans="1:14" x14ac:dyDescent="0.3">
      <c r="A14" s="24" t="s">
        <v>661</v>
      </c>
      <c r="B14" s="18"/>
      <c r="C14" s="18"/>
      <c r="D14" s="22" t="s">
        <v>1</v>
      </c>
      <c r="E14" s="22" t="s">
        <v>901</v>
      </c>
      <c r="F14" s="23" t="s">
        <v>2</v>
      </c>
      <c r="G14" s="22" t="s">
        <v>3</v>
      </c>
      <c r="H14" s="23" t="s">
        <v>3</v>
      </c>
    </row>
    <row r="15" spans="1:14" x14ac:dyDescent="0.3">
      <c r="A15" s="18"/>
      <c r="B15" s="18"/>
      <c r="C15" s="18"/>
      <c r="D15" s="22">
        <v>2022</v>
      </c>
      <c r="E15" s="22">
        <v>2023</v>
      </c>
      <c r="F15" s="23">
        <v>2024</v>
      </c>
      <c r="G15" s="22" t="s">
        <v>894</v>
      </c>
      <c r="H15" s="23" t="s">
        <v>902</v>
      </c>
    </row>
    <row r="16" spans="1:14" x14ac:dyDescent="0.3">
      <c r="A16" s="24" t="s">
        <v>7</v>
      </c>
      <c r="B16" s="24"/>
      <c r="C16" s="24"/>
      <c r="D16" s="125">
        <f>(D12)</f>
        <v>79300</v>
      </c>
      <c r="E16" s="125">
        <f>(E12)</f>
        <v>40550</v>
      </c>
      <c r="F16" s="126">
        <f>(F12)</f>
        <v>40550</v>
      </c>
      <c r="G16" s="42">
        <f>(E16-D16)/D16</f>
        <v>-0.48865069356872637</v>
      </c>
      <c r="H16" s="29">
        <f>(F16-E16)/E16</f>
        <v>0</v>
      </c>
    </row>
    <row r="44" spans="5:5" x14ac:dyDescent="0.3">
      <c r="E44" s="6" t="s">
        <v>886</v>
      </c>
    </row>
  </sheetData>
  <printOptions gridLines="1"/>
  <pageMargins left="1" right="1" top="1" bottom="1" header="0.5" footer="0.5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5:I44"/>
  <sheetViews>
    <sheetView view="pageLayout" zoomScale="90" zoomScaleNormal="100" zoomScalePageLayoutView="90" workbookViewId="0">
      <selection activeCell="H18" sqref="H18"/>
    </sheetView>
  </sheetViews>
  <sheetFormatPr defaultRowHeight="14.4" x14ac:dyDescent="0.3"/>
  <cols>
    <col min="7" max="7" width="9.33203125" bestFit="1" customWidth="1"/>
  </cols>
  <sheetData>
    <row r="5" spans="1:9" x14ac:dyDescent="0.3">
      <c r="A5" s="24" t="s">
        <v>889</v>
      </c>
      <c r="B5" s="18"/>
      <c r="C5" s="18"/>
      <c r="D5" s="18"/>
      <c r="E5" s="22" t="s">
        <v>1</v>
      </c>
      <c r="F5" s="22" t="s">
        <v>901</v>
      </c>
      <c r="G5" s="23" t="s">
        <v>2</v>
      </c>
      <c r="H5" s="22" t="s">
        <v>3</v>
      </c>
      <c r="I5" s="23" t="s">
        <v>3</v>
      </c>
    </row>
    <row r="6" spans="1:9" x14ac:dyDescent="0.3">
      <c r="A6" s="18"/>
      <c r="B6" s="18"/>
      <c r="C6" s="18"/>
      <c r="D6" s="18"/>
      <c r="E6" s="22">
        <v>2022</v>
      </c>
      <c r="F6" s="22">
        <v>2023</v>
      </c>
      <c r="G6" s="23">
        <v>2024</v>
      </c>
      <c r="H6" s="22" t="s">
        <v>894</v>
      </c>
      <c r="I6" s="23" t="s">
        <v>902</v>
      </c>
    </row>
    <row r="7" spans="1:9" x14ac:dyDescent="0.3">
      <c r="A7" s="18" t="s">
        <v>627</v>
      </c>
      <c r="B7" s="18" t="s">
        <v>890</v>
      </c>
      <c r="C7" s="18"/>
      <c r="D7" s="18"/>
      <c r="E7" s="21">
        <v>7500</v>
      </c>
      <c r="F7" s="21">
        <v>7500</v>
      </c>
      <c r="G7" s="124">
        <v>5000</v>
      </c>
      <c r="H7" s="41">
        <f>(F7-E7)/E7</f>
        <v>0</v>
      </c>
      <c r="I7" s="27">
        <f>(G7-F7)/F7</f>
        <v>-0.33333333333333331</v>
      </c>
    </row>
    <row r="8" spans="1:9" x14ac:dyDescent="0.3">
      <c r="A8" s="18"/>
      <c r="B8" s="24" t="s">
        <v>7</v>
      </c>
      <c r="C8" s="24"/>
      <c r="D8" s="24"/>
      <c r="E8" s="25">
        <f>(E7)</f>
        <v>7500</v>
      </c>
      <c r="F8" s="25">
        <f>(F7)</f>
        <v>7500</v>
      </c>
      <c r="G8" s="126">
        <v>5000</v>
      </c>
      <c r="H8" s="42">
        <f>(F8-E8)/E8</f>
        <v>0</v>
      </c>
      <c r="I8" s="29">
        <f>(G8-F8)/F8</f>
        <v>-0.33333333333333331</v>
      </c>
    </row>
    <row r="12" spans="1:9" x14ac:dyDescent="0.3">
      <c r="A12" s="24" t="s">
        <v>893</v>
      </c>
      <c r="B12" s="18"/>
      <c r="C12" s="18"/>
      <c r="D12" s="18"/>
      <c r="E12" s="22" t="s">
        <v>1</v>
      </c>
      <c r="F12" s="22" t="s">
        <v>901</v>
      </c>
      <c r="G12" s="23" t="s">
        <v>2</v>
      </c>
      <c r="H12" s="22" t="s">
        <v>3</v>
      </c>
      <c r="I12" s="23" t="s">
        <v>3</v>
      </c>
    </row>
    <row r="13" spans="1:9" x14ac:dyDescent="0.3">
      <c r="A13" s="18"/>
      <c r="B13" s="18"/>
      <c r="C13" s="18"/>
      <c r="D13" s="18"/>
      <c r="E13" s="22">
        <v>2022</v>
      </c>
      <c r="F13" s="22">
        <v>2023</v>
      </c>
      <c r="G13" s="23">
        <v>2024</v>
      </c>
      <c r="H13" s="22" t="s">
        <v>894</v>
      </c>
      <c r="I13" s="23" t="s">
        <v>902</v>
      </c>
    </row>
    <row r="14" spans="1:9" x14ac:dyDescent="0.3">
      <c r="A14" s="24" t="s">
        <v>7</v>
      </c>
      <c r="B14" s="24"/>
      <c r="C14" s="24"/>
      <c r="D14" s="24"/>
      <c r="E14" s="25">
        <f>(E8)</f>
        <v>7500</v>
      </c>
      <c r="F14" s="25">
        <f>(F8)</f>
        <v>7500</v>
      </c>
      <c r="G14" s="71">
        <f>(G8)</f>
        <v>5000</v>
      </c>
      <c r="H14" s="42">
        <f>(F14-E14)/E14</f>
        <v>0</v>
      </c>
      <c r="I14" s="29">
        <f>(G14-F14)/F14</f>
        <v>-0.33333333333333331</v>
      </c>
    </row>
    <row r="44" spans="5:5" x14ac:dyDescent="0.3">
      <c r="E44" s="6" t="s">
        <v>887</v>
      </c>
    </row>
  </sheetData>
  <pageMargins left="1" right="1" top="1" bottom="1" header="0.5" footer="0.5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88"/>
  <sheetViews>
    <sheetView view="pageLayout" topLeftCell="A45" zoomScale="90" zoomScaleNormal="90" zoomScalePageLayoutView="90" workbookViewId="0">
      <selection activeCell="F63" sqref="F63"/>
    </sheetView>
  </sheetViews>
  <sheetFormatPr defaultRowHeight="14.4" x14ac:dyDescent="0.3"/>
  <cols>
    <col min="1" max="1" width="9.5546875" customWidth="1"/>
    <col min="2" max="2" width="7.44140625" customWidth="1"/>
    <col min="5" max="5" width="11.44140625" bestFit="1" customWidth="1"/>
    <col min="6" max="9" width="9.5546875" customWidth="1"/>
  </cols>
  <sheetData>
    <row r="1" spans="1:14" x14ac:dyDescent="0.3">
      <c r="A1" s="6"/>
      <c r="N1" s="6"/>
    </row>
    <row r="6" spans="1:14" x14ac:dyDescent="0.3">
      <c r="A6" s="24" t="s">
        <v>662</v>
      </c>
      <c r="B6" s="18"/>
      <c r="C6" s="18"/>
      <c r="D6" s="18"/>
      <c r="E6" s="22" t="s">
        <v>1</v>
      </c>
      <c r="F6" s="22" t="s">
        <v>901</v>
      </c>
      <c r="G6" s="23" t="s">
        <v>2</v>
      </c>
      <c r="H6" s="22" t="s">
        <v>3</v>
      </c>
      <c r="I6" s="23" t="s">
        <v>3</v>
      </c>
    </row>
    <row r="7" spans="1:14" x14ac:dyDescent="0.3">
      <c r="A7" s="18"/>
      <c r="B7" s="18"/>
      <c r="C7" s="18"/>
      <c r="D7" s="18"/>
      <c r="E7" s="22">
        <v>2022</v>
      </c>
      <c r="F7" s="22">
        <v>2023</v>
      </c>
      <c r="G7" s="23">
        <v>2024</v>
      </c>
      <c r="H7" s="22" t="s">
        <v>894</v>
      </c>
      <c r="I7" s="23" t="s">
        <v>902</v>
      </c>
    </row>
    <row r="8" spans="1:14" x14ac:dyDescent="0.3">
      <c r="A8" s="18" t="s">
        <v>663</v>
      </c>
      <c r="B8" s="18" t="s">
        <v>693</v>
      </c>
      <c r="C8" s="18"/>
      <c r="D8" s="18"/>
      <c r="E8" s="123">
        <v>92500</v>
      </c>
      <c r="F8" s="123">
        <v>92500</v>
      </c>
      <c r="G8" s="124">
        <v>92500</v>
      </c>
      <c r="H8" s="41">
        <f>(F8-E8)/E8</f>
        <v>0</v>
      </c>
      <c r="I8" s="27">
        <f>(G8-F8)/F8</f>
        <v>0</v>
      </c>
    </row>
    <row r="9" spans="1:14" x14ac:dyDescent="0.3">
      <c r="A9" s="18" t="s">
        <v>664</v>
      </c>
      <c r="B9" s="18" t="s">
        <v>694</v>
      </c>
      <c r="C9" s="18"/>
      <c r="D9" s="18"/>
      <c r="E9" s="123">
        <v>0</v>
      </c>
      <c r="F9" s="123">
        <v>0</v>
      </c>
      <c r="G9" s="124">
        <v>0</v>
      </c>
      <c r="H9" s="41" t="e">
        <f t="shared" ref="H9:H43" si="0">(F9-E9)/E9</f>
        <v>#DIV/0!</v>
      </c>
      <c r="I9" s="27" t="e">
        <f t="shared" ref="I9:I43" si="1">(G9-F9)/F9</f>
        <v>#DIV/0!</v>
      </c>
    </row>
    <row r="10" spans="1:14" x14ac:dyDescent="0.3">
      <c r="A10" s="18" t="s">
        <v>665</v>
      </c>
      <c r="B10" s="18" t="s">
        <v>695</v>
      </c>
      <c r="C10" s="18"/>
      <c r="D10" s="18"/>
      <c r="E10" s="123">
        <v>12500</v>
      </c>
      <c r="F10" s="123">
        <v>13000</v>
      </c>
      <c r="G10" s="124">
        <v>10000</v>
      </c>
      <c r="H10" s="41">
        <f t="shared" si="0"/>
        <v>0.04</v>
      </c>
      <c r="I10" s="27">
        <f t="shared" si="1"/>
        <v>-0.23076923076923078</v>
      </c>
    </row>
    <row r="11" spans="1:14" x14ac:dyDescent="0.3">
      <c r="A11" s="18" t="s">
        <v>666</v>
      </c>
      <c r="B11" s="18" t="s">
        <v>696</v>
      </c>
      <c r="C11" s="18"/>
      <c r="D11" s="18"/>
      <c r="E11" s="123">
        <v>20000</v>
      </c>
      <c r="F11" s="123">
        <v>22500</v>
      </c>
      <c r="G11" s="124">
        <v>20000</v>
      </c>
      <c r="H11" s="41">
        <f t="shared" si="0"/>
        <v>0.125</v>
      </c>
      <c r="I11" s="27">
        <f t="shared" si="1"/>
        <v>-0.1111111111111111</v>
      </c>
    </row>
    <row r="12" spans="1:14" x14ac:dyDescent="0.3">
      <c r="A12" s="18" t="s">
        <v>667</v>
      </c>
      <c r="B12" s="18" t="s">
        <v>697</v>
      </c>
      <c r="C12" s="18"/>
      <c r="D12" s="18"/>
      <c r="E12" s="123">
        <v>0</v>
      </c>
      <c r="F12" s="123">
        <v>0</v>
      </c>
      <c r="G12" s="124">
        <v>0</v>
      </c>
      <c r="H12" s="41" t="e">
        <f t="shared" si="0"/>
        <v>#DIV/0!</v>
      </c>
      <c r="I12" s="27" t="e">
        <f t="shared" si="1"/>
        <v>#DIV/0!</v>
      </c>
    </row>
    <row r="13" spans="1:14" x14ac:dyDescent="0.3">
      <c r="A13" s="18" t="s">
        <v>668</v>
      </c>
      <c r="B13" s="18" t="s">
        <v>698</v>
      </c>
      <c r="C13" s="18"/>
      <c r="D13" s="18"/>
      <c r="E13" s="123">
        <v>0</v>
      </c>
      <c r="F13" s="123">
        <v>0</v>
      </c>
      <c r="G13" s="124">
        <v>0</v>
      </c>
      <c r="H13" s="41" t="e">
        <f t="shared" si="0"/>
        <v>#DIV/0!</v>
      </c>
      <c r="I13" s="27" t="e">
        <f t="shared" si="1"/>
        <v>#DIV/0!</v>
      </c>
    </row>
    <row r="14" spans="1:14" x14ac:dyDescent="0.3">
      <c r="A14" s="18" t="s">
        <v>669</v>
      </c>
      <c r="B14" s="18" t="s">
        <v>699</v>
      </c>
      <c r="C14" s="18"/>
      <c r="D14" s="18"/>
      <c r="E14" s="123">
        <v>0</v>
      </c>
      <c r="F14" s="123">
        <v>0</v>
      </c>
      <c r="G14" s="124">
        <v>0</v>
      </c>
      <c r="H14" s="41" t="e">
        <f t="shared" si="0"/>
        <v>#DIV/0!</v>
      </c>
      <c r="I14" s="27" t="e">
        <f t="shared" si="1"/>
        <v>#DIV/0!</v>
      </c>
    </row>
    <row r="15" spans="1:14" x14ac:dyDescent="0.3">
      <c r="A15" s="18" t="s">
        <v>670</v>
      </c>
      <c r="B15" s="18" t="s">
        <v>700</v>
      </c>
      <c r="C15" s="18"/>
      <c r="D15" s="18"/>
      <c r="E15" s="123">
        <v>16000</v>
      </c>
      <c r="F15" s="123">
        <v>17000</v>
      </c>
      <c r="G15" s="124">
        <v>15000</v>
      </c>
      <c r="H15" s="41">
        <f t="shared" si="0"/>
        <v>6.25E-2</v>
      </c>
      <c r="I15" s="27">
        <f t="shared" si="1"/>
        <v>-0.11764705882352941</v>
      </c>
    </row>
    <row r="16" spans="1:14" x14ac:dyDescent="0.3">
      <c r="A16" s="18" t="s">
        <v>671</v>
      </c>
      <c r="B16" s="18" t="s">
        <v>701</v>
      </c>
      <c r="C16" s="18"/>
      <c r="D16" s="18"/>
      <c r="E16" s="123">
        <v>2500</v>
      </c>
      <c r="F16" s="123">
        <v>3000</v>
      </c>
      <c r="G16" s="124">
        <v>3000</v>
      </c>
      <c r="H16" s="41">
        <f t="shared" si="0"/>
        <v>0.2</v>
      </c>
      <c r="I16" s="27">
        <f t="shared" si="1"/>
        <v>0</v>
      </c>
    </row>
    <row r="17" spans="1:9" x14ac:dyDescent="0.3">
      <c r="A17" s="18" t="s">
        <v>672</v>
      </c>
      <c r="B17" s="18" t="s">
        <v>702</v>
      </c>
      <c r="C17" s="18"/>
      <c r="D17" s="18"/>
      <c r="E17" s="123">
        <v>1000</v>
      </c>
      <c r="F17" s="123">
        <v>1000</v>
      </c>
      <c r="G17" s="124">
        <v>1200</v>
      </c>
      <c r="H17" s="41">
        <f t="shared" si="0"/>
        <v>0</v>
      </c>
      <c r="I17" s="27">
        <f t="shared" si="1"/>
        <v>0.2</v>
      </c>
    </row>
    <row r="18" spans="1:9" x14ac:dyDescent="0.3">
      <c r="A18" s="18" t="s">
        <v>673</v>
      </c>
      <c r="B18" s="18" t="s">
        <v>703</v>
      </c>
      <c r="C18" s="18"/>
      <c r="D18" s="18"/>
      <c r="E18" s="123">
        <v>60000</v>
      </c>
      <c r="F18" s="123">
        <v>50000</v>
      </c>
      <c r="G18" s="124">
        <v>55000</v>
      </c>
      <c r="H18" s="41">
        <f t="shared" si="0"/>
        <v>-0.16666666666666666</v>
      </c>
      <c r="I18" s="27">
        <f t="shared" si="1"/>
        <v>0.1</v>
      </c>
    </row>
    <row r="19" spans="1:9" x14ac:dyDescent="0.3">
      <c r="A19" s="18" t="s">
        <v>674</v>
      </c>
      <c r="B19" s="18" t="s">
        <v>704</v>
      </c>
      <c r="C19" s="18"/>
      <c r="D19" s="18"/>
      <c r="E19" s="123">
        <v>4000</v>
      </c>
      <c r="F19" s="123">
        <v>4250</v>
      </c>
      <c r="G19" s="124">
        <v>3000</v>
      </c>
      <c r="H19" s="41">
        <f t="shared" si="0"/>
        <v>6.25E-2</v>
      </c>
      <c r="I19" s="27">
        <f t="shared" si="1"/>
        <v>-0.29411764705882354</v>
      </c>
    </row>
    <row r="20" spans="1:9" x14ac:dyDescent="0.3">
      <c r="A20" s="18" t="s">
        <v>675</v>
      </c>
      <c r="B20" s="18" t="s">
        <v>705</v>
      </c>
      <c r="C20" s="18"/>
      <c r="D20" s="18"/>
      <c r="E20" s="123">
        <v>42500</v>
      </c>
      <c r="F20" s="123">
        <v>45000</v>
      </c>
      <c r="G20" s="124">
        <v>55000</v>
      </c>
      <c r="H20" s="41">
        <f t="shared" si="0"/>
        <v>5.8823529411764705E-2</v>
      </c>
      <c r="I20" s="27">
        <f t="shared" si="1"/>
        <v>0.22222222222222221</v>
      </c>
    </row>
    <row r="21" spans="1:9" x14ac:dyDescent="0.3">
      <c r="A21" s="18" t="s">
        <v>676</v>
      </c>
      <c r="B21" s="18" t="s">
        <v>706</v>
      </c>
      <c r="C21" s="18"/>
      <c r="D21" s="18"/>
      <c r="E21" s="123">
        <v>7250</v>
      </c>
      <c r="F21" s="123">
        <v>7500</v>
      </c>
      <c r="G21" s="124">
        <v>5000</v>
      </c>
      <c r="H21" s="41">
        <f t="shared" si="0"/>
        <v>3.4482758620689655E-2</v>
      </c>
      <c r="I21" s="27">
        <f t="shared" si="1"/>
        <v>-0.33333333333333331</v>
      </c>
    </row>
    <row r="22" spans="1:9" x14ac:dyDescent="0.3">
      <c r="A22" s="18" t="s">
        <v>677</v>
      </c>
      <c r="B22" s="18" t="s">
        <v>707</v>
      </c>
      <c r="C22" s="18"/>
      <c r="D22" s="18"/>
      <c r="E22" s="123">
        <v>13500</v>
      </c>
      <c r="F22" s="123">
        <v>12500</v>
      </c>
      <c r="G22" s="124">
        <v>13000</v>
      </c>
      <c r="H22" s="41">
        <f t="shared" si="0"/>
        <v>-7.407407407407407E-2</v>
      </c>
      <c r="I22" s="27">
        <f t="shared" si="1"/>
        <v>0.04</v>
      </c>
    </row>
    <row r="23" spans="1:9" x14ac:dyDescent="0.3">
      <c r="A23" s="18" t="s">
        <v>678</v>
      </c>
      <c r="B23" s="18" t="s">
        <v>708</v>
      </c>
      <c r="C23" s="18"/>
      <c r="D23" s="18"/>
      <c r="E23" s="123">
        <v>2500</v>
      </c>
      <c r="F23" s="123">
        <v>3000</v>
      </c>
      <c r="G23" s="124">
        <v>2500</v>
      </c>
      <c r="H23" s="41">
        <f t="shared" si="0"/>
        <v>0.2</v>
      </c>
      <c r="I23" s="27">
        <f t="shared" si="1"/>
        <v>-0.16666666666666666</v>
      </c>
    </row>
    <row r="24" spans="1:9" x14ac:dyDescent="0.3">
      <c r="A24" s="18" t="s">
        <v>679</v>
      </c>
      <c r="B24" s="18" t="s">
        <v>709</v>
      </c>
      <c r="C24" s="18"/>
      <c r="D24" s="18"/>
      <c r="E24" s="123">
        <v>500</v>
      </c>
      <c r="F24" s="123">
        <v>500</v>
      </c>
      <c r="G24" s="124">
        <v>500</v>
      </c>
      <c r="H24" s="41">
        <f t="shared" si="0"/>
        <v>0</v>
      </c>
      <c r="I24" s="27">
        <f t="shared" si="1"/>
        <v>0</v>
      </c>
    </row>
    <row r="25" spans="1:9" x14ac:dyDescent="0.3">
      <c r="A25" s="18" t="s">
        <v>680</v>
      </c>
      <c r="B25" s="18" t="s">
        <v>710</v>
      </c>
      <c r="C25" s="18"/>
      <c r="D25" s="18"/>
      <c r="E25" s="123">
        <v>0</v>
      </c>
      <c r="F25" s="123">
        <v>0</v>
      </c>
      <c r="G25" s="124">
        <v>0</v>
      </c>
      <c r="H25" s="41" t="e">
        <f t="shared" si="0"/>
        <v>#DIV/0!</v>
      </c>
      <c r="I25" s="27" t="e">
        <f t="shared" si="1"/>
        <v>#DIV/0!</v>
      </c>
    </row>
    <row r="26" spans="1:9" x14ac:dyDescent="0.3">
      <c r="A26" s="18" t="s">
        <v>681</v>
      </c>
      <c r="B26" s="18" t="s">
        <v>711</v>
      </c>
      <c r="C26" s="18"/>
      <c r="D26" s="18"/>
      <c r="E26" s="123">
        <v>1500</v>
      </c>
      <c r="F26" s="123">
        <v>2000</v>
      </c>
      <c r="G26" s="124">
        <v>1000</v>
      </c>
      <c r="H26" s="41">
        <f t="shared" si="0"/>
        <v>0.33333333333333331</v>
      </c>
      <c r="I26" s="27">
        <f t="shared" si="1"/>
        <v>-0.5</v>
      </c>
    </row>
    <row r="27" spans="1:9" x14ac:dyDescent="0.3">
      <c r="A27" s="18" t="s">
        <v>682</v>
      </c>
      <c r="B27" s="18" t="s">
        <v>712</v>
      </c>
      <c r="C27" s="18"/>
      <c r="D27" s="18"/>
      <c r="E27" s="123">
        <v>12500</v>
      </c>
      <c r="F27" s="123">
        <v>23750</v>
      </c>
      <c r="G27" s="124">
        <v>30000</v>
      </c>
      <c r="H27" s="41">
        <f t="shared" si="0"/>
        <v>0.9</v>
      </c>
      <c r="I27" s="27">
        <f t="shared" si="1"/>
        <v>0.26315789473684209</v>
      </c>
    </row>
    <row r="28" spans="1:9" x14ac:dyDescent="0.3">
      <c r="A28" s="18" t="s">
        <v>683</v>
      </c>
      <c r="B28" s="18" t="s">
        <v>713</v>
      </c>
      <c r="C28" s="18"/>
      <c r="D28" s="18"/>
      <c r="E28" s="123">
        <v>1200</v>
      </c>
      <c r="F28" s="123">
        <v>1300</v>
      </c>
      <c r="G28" s="124">
        <v>2200</v>
      </c>
      <c r="H28" s="41">
        <f t="shared" si="0"/>
        <v>8.3333333333333329E-2</v>
      </c>
      <c r="I28" s="27">
        <f t="shared" si="1"/>
        <v>0.69230769230769229</v>
      </c>
    </row>
    <row r="29" spans="1:9" x14ac:dyDescent="0.3">
      <c r="A29" s="18" t="s">
        <v>684</v>
      </c>
      <c r="B29" s="18" t="s">
        <v>714</v>
      </c>
      <c r="C29" s="18"/>
      <c r="D29" s="18"/>
      <c r="E29" s="123">
        <v>5500</v>
      </c>
      <c r="F29" s="123">
        <v>5500</v>
      </c>
      <c r="G29" s="124">
        <v>5500</v>
      </c>
      <c r="H29" s="41">
        <f t="shared" si="0"/>
        <v>0</v>
      </c>
      <c r="I29" s="27">
        <f t="shared" si="1"/>
        <v>0</v>
      </c>
    </row>
    <row r="30" spans="1:9" x14ac:dyDescent="0.3">
      <c r="A30" s="18" t="s">
        <v>685</v>
      </c>
      <c r="B30" s="18" t="s">
        <v>715</v>
      </c>
      <c r="C30" s="18"/>
      <c r="D30" s="18"/>
      <c r="E30" s="123">
        <v>0</v>
      </c>
      <c r="F30" s="123">
        <v>0</v>
      </c>
      <c r="G30" s="124">
        <v>0</v>
      </c>
      <c r="H30" s="41" t="e">
        <f t="shared" si="0"/>
        <v>#DIV/0!</v>
      </c>
      <c r="I30" s="27" t="e">
        <f t="shared" si="1"/>
        <v>#DIV/0!</v>
      </c>
    </row>
    <row r="31" spans="1:9" x14ac:dyDescent="0.3">
      <c r="A31" s="18" t="s">
        <v>686</v>
      </c>
      <c r="B31" s="18" t="s">
        <v>716</v>
      </c>
      <c r="C31" s="18"/>
      <c r="D31" s="18"/>
      <c r="E31" s="123">
        <v>22500</v>
      </c>
      <c r="F31" s="123">
        <v>25000</v>
      </c>
      <c r="G31" s="124">
        <v>15000</v>
      </c>
      <c r="H31" s="41">
        <f t="shared" si="0"/>
        <v>0.1111111111111111</v>
      </c>
      <c r="I31" s="27">
        <f t="shared" si="1"/>
        <v>-0.4</v>
      </c>
    </row>
    <row r="32" spans="1:9" x14ac:dyDescent="0.3">
      <c r="A32" s="18" t="s">
        <v>687</v>
      </c>
      <c r="B32" s="18" t="s">
        <v>718</v>
      </c>
      <c r="C32" s="18"/>
      <c r="D32" s="18"/>
      <c r="E32" s="123">
        <v>0</v>
      </c>
      <c r="F32" s="123">
        <v>0</v>
      </c>
      <c r="G32" s="124">
        <v>0</v>
      </c>
      <c r="H32" s="41" t="e">
        <f t="shared" si="0"/>
        <v>#DIV/0!</v>
      </c>
      <c r="I32" s="27" t="e">
        <f t="shared" si="1"/>
        <v>#DIV/0!</v>
      </c>
    </row>
    <row r="33" spans="1:11" x14ac:dyDescent="0.3">
      <c r="A33" s="18" t="s">
        <v>688</v>
      </c>
      <c r="B33" s="18" t="s">
        <v>719</v>
      </c>
      <c r="C33" s="18"/>
      <c r="D33" s="18"/>
      <c r="E33" s="123">
        <v>7500</v>
      </c>
      <c r="F33" s="123">
        <v>5000</v>
      </c>
      <c r="G33" s="124">
        <v>4500</v>
      </c>
      <c r="H33" s="41">
        <f t="shared" si="0"/>
        <v>-0.33333333333333331</v>
      </c>
      <c r="I33" s="27">
        <f t="shared" si="1"/>
        <v>-0.1</v>
      </c>
    </row>
    <row r="34" spans="1:11" x14ac:dyDescent="0.3">
      <c r="A34" s="18" t="s">
        <v>689</v>
      </c>
      <c r="B34" s="18" t="s">
        <v>717</v>
      </c>
      <c r="C34" s="18"/>
      <c r="D34" s="18"/>
      <c r="E34" s="123">
        <v>0</v>
      </c>
      <c r="F34" s="123">
        <v>0</v>
      </c>
      <c r="G34" s="124">
        <v>0</v>
      </c>
      <c r="H34" s="41" t="e">
        <f t="shared" si="0"/>
        <v>#DIV/0!</v>
      </c>
      <c r="I34" s="27" t="e">
        <f t="shared" si="1"/>
        <v>#DIV/0!</v>
      </c>
    </row>
    <row r="35" spans="1:11" x14ac:dyDescent="0.3">
      <c r="A35" s="18" t="s">
        <v>690</v>
      </c>
      <c r="B35" s="18" t="s">
        <v>720</v>
      </c>
      <c r="C35" s="18"/>
      <c r="D35" s="18"/>
      <c r="E35" s="123">
        <v>750</v>
      </c>
      <c r="F35" s="123">
        <v>750</v>
      </c>
      <c r="G35" s="124">
        <v>0</v>
      </c>
      <c r="H35" s="41">
        <f t="shared" si="0"/>
        <v>0</v>
      </c>
      <c r="I35" s="27">
        <f t="shared" si="1"/>
        <v>-1</v>
      </c>
      <c r="J35" s="13"/>
    </row>
    <row r="36" spans="1:11" x14ac:dyDescent="0.3">
      <c r="A36" s="18" t="s">
        <v>691</v>
      </c>
      <c r="B36" s="18" t="s">
        <v>721</v>
      </c>
      <c r="C36" s="18"/>
      <c r="D36" s="18"/>
      <c r="E36" s="123">
        <v>0</v>
      </c>
      <c r="F36" s="123">
        <v>0</v>
      </c>
      <c r="G36" s="124">
        <v>0</v>
      </c>
      <c r="H36" s="41" t="e">
        <f t="shared" si="0"/>
        <v>#DIV/0!</v>
      </c>
      <c r="I36" s="27" t="e">
        <f t="shared" si="1"/>
        <v>#DIV/0!</v>
      </c>
    </row>
    <row r="37" spans="1:11" x14ac:dyDescent="0.3">
      <c r="A37" s="18" t="s">
        <v>692</v>
      </c>
      <c r="B37" s="18" t="s">
        <v>727</v>
      </c>
      <c r="C37" s="24"/>
      <c r="D37" s="24"/>
      <c r="E37" s="123">
        <v>125000</v>
      </c>
      <c r="F37" s="123">
        <v>135000</v>
      </c>
      <c r="G37" s="124">
        <v>100000</v>
      </c>
      <c r="H37" s="41">
        <f t="shared" si="0"/>
        <v>0.08</v>
      </c>
      <c r="I37" s="27">
        <f t="shared" si="1"/>
        <v>-0.25925925925925924</v>
      </c>
    </row>
    <row r="38" spans="1:11" x14ac:dyDescent="0.3">
      <c r="A38" s="18" t="s">
        <v>722</v>
      </c>
      <c r="B38" s="18" t="s">
        <v>728</v>
      </c>
      <c r="C38" s="18"/>
      <c r="D38" s="18"/>
      <c r="E38" s="123">
        <v>250</v>
      </c>
      <c r="F38" s="123">
        <v>250</v>
      </c>
      <c r="G38" s="124">
        <v>0</v>
      </c>
      <c r="H38" s="41">
        <f t="shared" si="0"/>
        <v>0</v>
      </c>
      <c r="I38" s="27">
        <f t="shared" si="1"/>
        <v>-1</v>
      </c>
    </row>
    <row r="39" spans="1:11" x14ac:dyDescent="0.3">
      <c r="A39" s="18" t="s">
        <v>723</v>
      </c>
      <c r="B39" s="18" t="s">
        <v>372</v>
      </c>
      <c r="C39" s="18"/>
      <c r="D39" s="18"/>
      <c r="E39" s="123">
        <v>1500</v>
      </c>
      <c r="F39" s="123">
        <v>1500</v>
      </c>
      <c r="G39" s="124">
        <v>750</v>
      </c>
      <c r="H39" s="41">
        <f t="shared" si="0"/>
        <v>0</v>
      </c>
      <c r="I39" s="27">
        <f t="shared" si="1"/>
        <v>-0.5</v>
      </c>
      <c r="J39" s="17"/>
      <c r="K39" s="16"/>
    </row>
    <row r="40" spans="1:11" x14ac:dyDescent="0.3">
      <c r="A40" s="18" t="s">
        <v>724</v>
      </c>
      <c r="B40" s="18" t="s">
        <v>729</v>
      </c>
      <c r="C40" s="18"/>
      <c r="D40" s="18"/>
      <c r="E40" s="123">
        <v>0</v>
      </c>
      <c r="F40" s="123">
        <v>0</v>
      </c>
      <c r="G40" s="124">
        <v>0</v>
      </c>
      <c r="H40" s="41" t="e">
        <f t="shared" si="0"/>
        <v>#DIV/0!</v>
      </c>
      <c r="I40" s="27" t="e">
        <f t="shared" si="1"/>
        <v>#DIV/0!</v>
      </c>
      <c r="J40" s="17"/>
      <c r="K40" s="16"/>
    </row>
    <row r="41" spans="1:11" x14ac:dyDescent="0.3">
      <c r="A41" s="18" t="s">
        <v>725</v>
      </c>
      <c r="B41" s="18" t="s">
        <v>730</v>
      </c>
      <c r="C41" s="18"/>
      <c r="D41" s="18"/>
      <c r="E41" s="123">
        <v>1000</v>
      </c>
      <c r="F41" s="123">
        <v>1200</v>
      </c>
      <c r="G41" s="124">
        <v>1200</v>
      </c>
      <c r="H41" s="41">
        <f t="shared" si="0"/>
        <v>0.2</v>
      </c>
      <c r="I41" s="27">
        <f t="shared" si="1"/>
        <v>0</v>
      </c>
    </row>
    <row r="42" spans="1:11" x14ac:dyDescent="0.3">
      <c r="A42" s="18" t="s">
        <v>726</v>
      </c>
      <c r="B42" s="18" t="s">
        <v>582</v>
      </c>
      <c r="C42" s="18"/>
      <c r="D42" s="18"/>
      <c r="E42" s="123">
        <v>0</v>
      </c>
      <c r="F42" s="123">
        <v>0</v>
      </c>
      <c r="G42" s="124">
        <v>0</v>
      </c>
      <c r="H42" s="41" t="e">
        <f t="shared" si="0"/>
        <v>#DIV/0!</v>
      </c>
      <c r="I42" s="27" t="e">
        <f t="shared" si="1"/>
        <v>#DIV/0!</v>
      </c>
    </row>
    <row r="43" spans="1:11" x14ac:dyDescent="0.3">
      <c r="A43" s="18"/>
      <c r="B43" s="24" t="s">
        <v>7</v>
      </c>
      <c r="C43" s="18"/>
      <c r="D43" s="18"/>
      <c r="E43" s="125">
        <f>SUM(E8:E42)</f>
        <v>453950</v>
      </c>
      <c r="F43" s="125">
        <f>SUM(F8:F42)</f>
        <v>473000</v>
      </c>
      <c r="G43" s="126">
        <f>SUM(G8:G42)</f>
        <v>435850</v>
      </c>
      <c r="H43" s="41">
        <f t="shared" si="0"/>
        <v>4.1964974116092083E-2</v>
      </c>
      <c r="I43" s="29">
        <f t="shared" si="1"/>
        <v>-7.8541226215644827E-2</v>
      </c>
    </row>
    <row r="44" spans="1:11" x14ac:dyDescent="0.3">
      <c r="E44" s="6" t="s">
        <v>887</v>
      </c>
      <c r="I44" s="5"/>
    </row>
    <row r="45" spans="1:11" x14ac:dyDescent="0.3">
      <c r="A45" s="24" t="s">
        <v>731</v>
      </c>
      <c r="B45" s="18"/>
      <c r="C45" s="18"/>
      <c r="D45" s="18"/>
      <c r="E45" s="22" t="s">
        <v>1</v>
      </c>
      <c r="F45" s="22" t="s">
        <v>901</v>
      </c>
      <c r="G45" s="23" t="s">
        <v>2</v>
      </c>
      <c r="H45" s="22" t="s">
        <v>3</v>
      </c>
      <c r="I45" s="23" t="s">
        <v>3</v>
      </c>
    </row>
    <row r="46" spans="1:11" x14ac:dyDescent="0.3">
      <c r="A46" s="18"/>
      <c r="B46" s="18"/>
      <c r="C46" s="18"/>
      <c r="D46" s="18"/>
      <c r="E46" s="22">
        <v>2022</v>
      </c>
      <c r="F46" s="22">
        <v>2023</v>
      </c>
      <c r="G46" s="23">
        <v>2024</v>
      </c>
      <c r="H46" s="22" t="s">
        <v>894</v>
      </c>
      <c r="I46" s="23" t="s">
        <v>902</v>
      </c>
    </row>
    <row r="47" spans="1:11" x14ac:dyDescent="0.3">
      <c r="A47" s="30" t="s">
        <v>585</v>
      </c>
      <c r="B47" s="33" t="s">
        <v>733</v>
      </c>
      <c r="C47" s="18"/>
      <c r="D47" s="18"/>
      <c r="E47" s="123">
        <v>90000</v>
      </c>
      <c r="F47" s="123">
        <v>90000</v>
      </c>
      <c r="G47" s="124">
        <v>96000</v>
      </c>
      <c r="H47" s="41">
        <f>(F47-E47)/E47</f>
        <v>0</v>
      </c>
      <c r="I47" s="27">
        <f>(G47-F47)/F47</f>
        <v>6.6666666666666666E-2</v>
      </c>
    </row>
    <row r="48" spans="1:11" x14ac:dyDescent="0.3">
      <c r="A48" s="18" t="s">
        <v>732</v>
      </c>
      <c r="B48" s="18" t="s">
        <v>734</v>
      </c>
      <c r="C48" s="18"/>
      <c r="D48" s="18"/>
      <c r="E48" s="123">
        <v>8100</v>
      </c>
      <c r="F48" s="123">
        <v>8100</v>
      </c>
      <c r="G48" s="124">
        <v>8100</v>
      </c>
      <c r="H48" s="41">
        <f>(F48-E48)/E48</f>
        <v>0</v>
      </c>
      <c r="I48" s="27">
        <f t="shared" ref="I48:I49" si="2">(G48-F48)/F48</f>
        <v>0</v>
      </c>
    </row>
    <row r="49" spans="1:11" x14ac:dyDescent="0.3">
      <c r="A49" s="18"/>
      <c r="B49" s="24" t="s">
        <v>7</v>
      </c>
      <c r="C49" s="24"/>
      <c r="D49" s="24"/>
      <c r="E49" s="125">
        <f>SUM(E47:E48)</f>
        <v>98100</v>
      </c>
      <c r="F49" s="125">
        <f>SUM(F47:F48)</f>
        <v>98100</v>
      </c>
      <c r="G49" s="126">
        <f>SUM(G47:G48)</f>
        <v>104100</v>
      </c>
      <c r="H49" s="41">
        <f>(F49-E49)/E49</f>
        <v>0</v>
      </c>
      <c r="I49" s="27">
        <f t="shared" si="2"/>
        <v>6.1162079510703363E-2</v>
      </c>
    </row>
    <row r="51" spans="1:11" x14ac:dyDescent="0.3">
      <c r="A51" s="24" t="s">
        <v>735</v>
      </c>
      <c r="B51" s="18"/>
      <c r="C51" s="18"/>
      <c r="D51" s="18"/>
      <c r="E51" s="22" t="s">
        <v>1</v>
      </c>
      <c r="F51" s="22" t="s">
        <v>901</v>
      </c>
      <c r="G51" s="23" t="s">
        <v>2</v>
      </c>
      <c r="H51" s="22" t="s">
        <v>3</v>
      </c>
      <c r="I51" s="23" t="s">
        <v>3</v>
      </c>
    </row>
    <row r="52" spans="1:11" x14ac:dyDescent="0.3">
      <c r="A52" s="18"/>
      <c r="B52" s="18"/>
      <c r="C52" s="18"/>
      <c r="D52" s="18"/>
      <c r="E52" s="22">
        <v>2022</v>
      </c>
      <c r="F52" s="22">
        <v>2023</v>
      </c>
      <c r="G52" s="23">
        <v>2024</v>
      </c>
      <c r="H52" s="22" t="s">
        <v>894</v>
      </c>
      <c r="I52" s="23" t="s">
        <v>902</v>
      </c>
    </row>
    <row r="53" spans="1:11" x14ac:dyDescent="0.3">
      <c r="A53" s="24" t="s">
        <v>7</v>
      </c>
      <c r="B53" s="24"/>
      <c r="C53" s="24"/>
      <c r="D53" s="24"/>
      <c r="E53" s="125">
        <f>(E43+E49)</f>
        <v>552050</v>
      </c>
      <c r="F53" s="125">
        <f>(F43+F49)</f>
        <v>571100</v>
      </c>
      <c r="G53" s="126">
        <f>(G43+G49)</f>
        <v>539950</v>
      </c>
      <c r="H53" s="42">
        <f>(F53-E53)/E53</f>
        <v>3.4507743863780457E-2</v>
      </c>
      <c r="I53" s="29">
        <f>(G53-F53)/F53</f>
        <v>-5.4543862721064609E-2</v>
      </c>
    </row>
    <row r="57" spans="1:11" x14ac:dyDescent="0.3">
      <c r="G57" s="13"/>
      <c r="J57" s="13"/>
    </row>
    <row r="58" spans="1:11" x14ac:dyDescent="0.3">
      <c r="E58" s="16"/>
      <c r="F58" s="16"/>
      <c r="G58" s="17"/>
      <c r="H58" s="16"/>
      <c r="I58" s="16"/>
      <c r="J58" s="17"/>
      <c r="K58" s="16"/>
    </row>
    <row r="59" spans="1:11" x14ac:dyDescent="0.3">
      <c r="E59" s="16"/>
      <c r="F59" s="16"/>
      <c r="G59" s="17"/>
      <c r="H59" s="16"/>
      <c r="I59" s="16"/>
      <c r="J59" s="17"/>
      <c r="K59" s="16"/>
    </row>
    <row r="60" spans="1:11" x14ac:dyDescent="0.3">
      <c r="E60" s="44"/>
      <c r="F60" s="44"/>
      <c r="G60" s="45"/>
      <c r="H60" s="44"/>
      <c r="I60" s="46"/>
      <c r="J60" s="47"/>
      <c r="K60" s="6"/>
    </row>
    <row r="88" spans="5:5" x14ac:dyDescent="0.3">
      <c r="E88" s="6" t="s">
        <v>888</v>
      </c>
    </row>
  </sheetData>
  <printOptions gridLines="1"/>
  <pageMargins left="1" right="1" top="1" bottom="1" header="0.5" footer="0.5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44"/>
  <sheetViews>
    <sheetView view="pageLayout" topLeftCell="A4" zoomScale="90" zoomScaleNormal="90" zoomScalePageLayoutView="90" workbookViewId="0">
      <selection activeCell="F20" sqref="F20"/>
    </sheetView>
  </sheetViews>
  <sheetFormatPr defaultRowHeight="14.4" x14ac:dyDescent="0.3"/>
  <cols>
    <col min="2" max="2" width="7.88671875" customWidth="1"/>
    <col min="3" max="3" width="8" customWidth="1"/>
    <col min="5" max="5" width="9.5546875" customWidth="1"/>
    <col min="6" max="6" width="9.44140625" customWidth="1"/>
    <col min="7" max="7" width="9.5546875" customWidth="1"/>
    <col min="8" max="8" width="9.44140625" customWidth="1"/>
    <col min="9" max="9" width="9.5546875" customWidth="1"/>
  </cols>
  <sheetData>
    <row r="1" spans="1:14" x14ac:dyDescent="0.3">
      <c r="A1" s="6"/>
      <c r="N1" s="6"/>
    </row>
    <row r="2" spans="1:14" x14ac:dyDescent="0.3">
      <c r="A2" s="6"/>
    </row>
    <row r="8" spans="1:14" x14ac:dyDescent="0.3">
      <c r="A8" s="24" t="s">
        <v>736</v>
      </c>
      <c r="B8" s="18"/>
      <c r="C8" s="18"/>
      <c r="D8" s="18"/>
      <c r="E8" s="22" t="s">
        <v>1</v>
      </c>
      <c r="F8" s="22" t="s">
        <v>901</v>
      </c>
      <c r="G8" s="23" t="s">
        <v>2</v>
      </c>
      <c r="H8" s="22" t="s">
        <v>3</v>
      </c>
      <c r="I8" s="23" t="s">
        <v>3</v>
      </c>
    </row>
    <row r="9" spans="1:14" x14ac:dyDescent="0.3">
      <c r="A9" s="18"/>
      <c r="B9" s="18"/>
      <c r="C9" s="18"/>
      <c r="D9" s="18"/>
      <c r="E9" s="22">
        <v>2022</v>
      </c>
      <c r="F9" s="22">
        <v>2023</v>
      </c>
      <c r="G9" s="23">
        <v>2024</v>
      </c>
      <c r="H9" s="22" t="s">
        <v>894</v>
      </c>
      <c r="I9" s="23" t="s">
        <v>902</v>
      </c>
    </row>
    <row r="10" spans="1:14" x14ac:dyDescent="0.3">
      <c r="A10" s="18" t="s">
        <v>663</v>
      </c>
      <c r="B10" s="18" t="s">
        <v>693</v>
      </c>
      <c r="C10" s="18"/>
      <c r="D10" s="18"/>
      <c r="E10" s="123">
        <v>11000</v>
      </c>
      <c r="F10" s="123">
        <v>11000</v>
      </c>
      <c r="G10" s="124">
        <v>11000</v>
      </c>
      <c r="H10" s="41">
        <f>(F10-E10)/E10</f>
        <v>0</v>
      </c>
      <c r="I10" s="27">
        <f>(G10-F10)/F10</f>
        <v>0</v>
      </c>
    </row>
    <row r="11" spans="1:14" x14ac:dyDescent="0.3">
      <c r="A11" s="18" t="s">
        <v>737</v>
      </c>
      <c r="B11" s="18" t="s">
        <v>756</v>
      </c>
      <c r="C11" s="18"/>
      <c r="D11" s="18"/>
      <c r="E11" s="123">
        <v>165000</v>
      </c>
      <c r="F11" s="123">
        <v>160000</v>
      </c>
      <c r="G11" s="124">
        <v>180000</v>
      </c>
      <c r="H11" s="41">
        <f t="shared" ref="H11:H37" si="0">(F11-E11)/E11</f>
        <v>-3.0303030303030304E-2</v>
      </c>
      <c r="I11" s="27">
        <f t="shared" ref="I11:I37" si="1">(G11-F11)/F11</f>
        <v>0.125</v>
      </c>
    </row>
    <row r="12" spans="1:14" x14ac:dyDescent="0.3">
      <c r="A12" s="18" t="s">
        <v>738</v>
      </c>
      <c r="B12" s="18" t="s">
        <v>757</v>
      </c>
      <c r="C12" s="18"/>
      <c r="D12" s="18"/>
      <c r="E12" s="123">
        <v>4500</v>
      </c>
      <c r="F12" s="123">
        <v>4500</v>
      </c>
      <c r="G12" s="124">
        <v>5000</v>
      </c>
      <c r="H12" s="41">
        <f t="shared" si="0"/>
        <v>0</v>
      </c>
      <c r="I12" s="27">
        <f t="shared" si="1"/>
        <v>0.1111111111111111</v>
      </c>
    </row>
    <row r="13" spans="1:14" x14ac:dyDescent="0.3">
      <c r="A13" s="18" t="s">
        <v>739</v>
      </c>
      <c r="B13" s="18" t="s">
        <v>758</v>
      </c>
      <c r="C13" s="18"/>
      <c r="D13" s="18"/>
      <c r="E13" s="123">
        <v>45000</v>
      </c>
      <c r="F13" s="123">
        <v>45000</v>
      </c>
      <c r="G13" s="124">
        <v>50000</v>
      </c>
      <c r="H13" s="41">
        <f t="shared" si="0"/>
        <v>0</v>
      </c>
      <c r="I13" s="27">
        <f t="shared" si="1"/>
        <v>0.1111111111111111</v>
      </c>
    </row>
    <row r="14" spans="1:14" x14ac:dyDescent="0.3">
      <c r="A14" s="18" t="s">
        <v>740</v>
      </c>
      <c r="B14" s="18" t="s">
        <v>759</v>
      </c>
      <c r="C14" s="18"/>
      <c r="D14" s="18"/>
      <c r="E14" s="123">
        <v>15000</v>
      </c>
      <c r="F14" s="123">
        <v>17500</v>
      </c>
      <c r="G14" s="124">
        <v>12500</v>
      </c>
      <c r="H14" s="41">
        <f t="shared" si="0"/>
        <v>0.16666666666666666</v>
      </c>
      <c r="I14" s="27">
        <f t="shared" si="1"/>
        <v>-0.2857142857142857</v>
      </c>
    </row>
    <row r="15" spans="1:14" x14ac:dyDescent="0.3">
      <c r="A15" s="18" t="s">
        <v>741</v>
      </c>
      <c r="B15" s="18" t="s">
        <v>760</v>
      </c>
      <c r="C15" s="18"/>
      <c r="D15" s="18"/>
      <c r="E15" s="123">
        <v>12000</v>
      </c>
      <c r="F15" s="123">
        <v>12000</v>
      </c>
      <c r="G15" s="124">
        <v>16000</v>
      </c>
      <c r="H15" s="41">
        <f t="shared" si="0"/>
        <v>0</v>
      </c>
      <c r="I15" s="27">
        <f t="shared" si="1"/>
        <v>0.33333333333333331</v>
      </c>
    </row>
    <row r="16" spans="1:14" x14ac:dyDescent="0.3">
      <c r="A16" s="18" t="s">
        <v>742</v>
      </c>
      <c r="B16" s="18" t="s">
        <v>761</v>
      </c>
      <c r="C16" s="18"/>
      <c r="D16" s="18"/>
      <c r="E16" s="123">
        <v>15000</v>
      </c>
      <c r="F16" s="123">
        <v>15000</v>
      </c>
      <c r="G16" s="124">
        <v>16500</v>
      </c>
      <c r="H16" s="41">
        <f t="shared" si="0"/>
        <v>0</v>
      </c>
      <c r="I16" s="27">
        <f t="shared" si="1"/>
        <v>0.1</v>
      </c>
    </row>
    <row r="17" spans="1:9" x14ac:dyDescent="0.3">
      <c r="A17" s="18" t="s">
        <v>743</v>
      </c>
      <c r="B17" s="18" t="s">
        <v>762</v>
      </c>
      <c r="C17" s="18"/>
      <c r="D17" s="18"/>
      <c r="E17" s="123">
        <v>5000</v>
      </c>
      <c r="F17" s="123">
        <v>5000</v>
      </c>
      <c r="G17" s="124">
        <v>5000</v>
      </c>
      <c r="H17" s="41">
        <f t="shared" si="0"/>
        <v>0</v>
      </c>
      <c r="I17" s="27">
        <f t="shared" si="1"/>
        <v>0</v>
      </c>
    </row>
    <row r="18" spans="1:9" x14ac:dyDescent="0.3">
      <c r="A18" s="18" t="s">
        <v>744</v>
      </c>
      <c r="B18" s="18" t="s">
        <v>763</v>
      </c>
      <c r="C18" s="18"/>
      <c r="D18" s="18"/>
      <c r="E18" s="123">
        <v>30000</v>
      </c>
      <c r="F18" s="123">
        <v>32500</v>
      </c>
      <c r="G18" s="124">
        <v>30000</v>
      </c>
      <c r="H18" s="41">
        <f t="shared" si="0"/>
        <v>8.3333333333333329E-2</v>
      </c>
      <c r="I18" s="27">
        <f t="shared" si="1"/>
        <v>-7.6923076923076927E-2</v>
      </c>
    </row>
    <row r="19" spans="1:9" x14ac:dyDescent="0.3">
      <c r="A19" s="18" t="s">
        <v>745</v>
      </c>
      <c r="B19" s="18" t="s">
        <v>764</v>
      </c>
      <c r="C19" s="18"/>
      <c r="D19" s="18"/>
      <c r="E19" s="123">
        <v>5000</v>
      </c>
      <c r="F19" s="123">
        <v>6000</v>
      </c>
      <c r="G19" s="124">
        <v>7500</v>
      </c>
      <c r="H19" s="41">
        <f t="shared" si="0"/>
        <v>0.2</v>
      </c>
      <c r="I19" s="27">
        <f t="shared" si="1"/>
        <v>0.25</v>
      </c>
    </row>
    <row r="20" spans="1:9" x14ac:dyDescent="0.3">
      <c r="A20" s="18" t="s">
        <v>746</v>
      </c>
      <c r="B20" s="18" t="s">
        <v>765</v>
      </c>
      <c r="C20" s="18"/>
      <c r="D20" s="18"/>
      <c r="E20" s="123">
        <v>25000</v>
      </c>
      <c r="F20" s="123">
        <v>25000</v>
      </c>
      <c r="G20" s="124">
        <v>22500</v>
      </c>
      <c r="H20" s="41">
        <f t="shared" si="0"/>
        <v>0</v>
      </c>
      <c r="I20" s="27">
        <f t="shared" si="1"/>
        <v>-0.1</v>
      </c>
    </row>
    <row r="21" spans="1:9" x14ac:dyDescent="0.3">
      <c r="A21" s="18" t="s">
        <v>747</v>
      </c>
      <c r="B21" s="18" t="s">
        <v>774</v>
      </c>
      <c r="C21" s="18"/>
      <c r="D21" s="18"/>
      <c r="E21" s="123">
        <v>500</v>
      </c>
      <c r="F21" s="123">
        <v>500</v>
      </c>
      <c r="G21" s="124">
        <v>0</v>
      </c>
      <c r="H21" s="41">
        <f t="shared" si="0"/>
        <v>0</v>
      </c>
      <c r="I21" s="27">
        <f t="shared" si="1"/>
        <v>-1</v>
      </c>
    </row>
    <row r="22" spans="1:9" x14ac:dyDescent="0.3">
      <c r="A22" s="18" t="s">
        <v>748</v>
      </c>
      <c r="B22" s="18" t="s">
        <v>766</v>
      </c>
      <c r="C22" s="18"/>
      <c r="D22" s="18"/>
      <c r="E22" s="142">
        <v>150000</v>
      </c>
      <c r="F22" s="123">
        <v>200000</v>
      </c>
      <c r="G22" s="124">
        <v>175000</v>
      </c>
      <c r="H22" s="41">
        <f t="shared" si="0"/>
        <v>0.33333333333333331</v>
      </c>
      <c r="I22" s="27">
        <f t="shared" si="1"/>
        <v>-0.125</v>
      </c>
    </row>
    <row r="23" spans="1:9" x14ac:dyDescent="0.3">
      <c r="A23" s="18" t="s">
        <v>749</v>
      </c>
      <c r="B23" s="18" t="s">
        <v>767</v>
      </c>
      <c r="C23" s="18"/>
      <c r="D23" s="18"/>
      <c r="E23" s="123">
        <v>15000</v>
      </c>
      <c r="F23" s="123">
        <v>15000</v>
      </c>
      <c r="G23" s="124">
        <v>15000</v>
      </c>
      <c r="H23" s="41">
        <f t="shared" si="0"/>
        <v>0</v>
      </c>
      <c r="I23" s="27">
        <f t="shared" si="1"/>
        <v>0</v>
      </c>
    </row>
    <row r="24" spans="1:9" x14ac:dyDescent="0.3">
      <c r="A24" s="18" t="s">
        <v>832</v>
      </c>
      <c r="B24" s="18" t="s">
        <v>768</v>
      </c>
      <c r="C24" s="18"/>
      <c r="D24" s="18"/>
      <c r="E24" s="123">
        <v>12500</v>
      </c>
      <c r="F24" s="123">
        <v>23750</v>
      </c>
      <c r="G24" s="124">
        <v>25000</v>
      </c>
      <c r="H24" s="41">
        <f t="shared" si="0"/>
        <v>0.9</v>
      </c>
      <c r="I24" s="27">
        <f t="shared" si="1"/>
        <v>5.2631578947368418E-2</v>
      </c>
    </row>
    <row r="25" spans="1:9" x14ac:dyDescent="0.3">
      <c r="A25" s="18" t="s">
        <v>750</v>
      </c>
      <c r="B25" s="18" t="s">
        <v>769</v>
      </c>
      <c r="C25" s="18"/>
      <c r="D25" s="18"/>
      <c r="E25" s="123">
        <v>500</v>
      </c>
      <c r="F25" s="123">
        <v>500</v>
      </c>
      <c r="G25" s="124">
        <v>1000</v>
      </c>
      <c r="H25" s="41">
        <f t="shared" si="0"/>
        <v>0</v>
      </c>
      <c r="I25" s="27">
        <f t="shared" si="1"/>
        <v>1</v>
      </c>
    </row>
    <row r="26" spans="1:9" x14ac:dyDescent="0.3">
      <c r="A26" s="18" t="s">
        <v>751</v>
      </c>
      <c r="B26" s="18" t="s">
        <v>770</v>
      </c>
      <c r="C26" s="18"/>
      <c r="D26" s="18"/>
      <c r="E26" s="123">
        <v>5500</v>
      </c>
      <c r="F26" s="123">
        <v>5500</v>
      </c>
      <c r="G26" s="124">
        <v>5500</v>
      </c>
      <c r="H26" s="41">
        <f t="shared" si="0"/>
        <v>0</v>
      </c>
      <c r="I26" s="27">
        <f t="shared" si="1"/>
        <v>0</v>
      </c>
    </row>
    <row r="27" spans="1:9" x14ac:dyDescent="0.3">
      <c r="A27" s="18" t="s">
        <v>752</v>
      </c>
      <c r="B27" s="18" t="s">
        <v>771</v>
      </c>
      <c r="C27" s="18"/>
      <c r="D27" s="18"/>
      <c r="E27" s="123">
        <v>30000</v>
      </c>
      <c r="F27" s="123">
        <v>30000</v>
      </c>
      <c r="G27" s="124">
        <v>30000</v>
      </c>
      <c r="H27" s="41">
        <f t="shared" si="0"/>
        <v>0</v>
      </c>
      <c r="I27" s="27">
        <f t="shared" si="1"/>
        <v>0</v>
      </c>
    </row>
    <row r="28" spans="1:9" x14ac:dyDescent="0.3">
      <c r="A28" s="18" t="s">
        <v>753</v>
      </c>
      <c r="B28" s="18" t="s">
        <v>773</v>
      </c>
      <c r="C28" s="18"/>
      <c r="D28" s="18"/>
      <c r="E28" s="123">
        <v>6500</v>
      </c>
      <c r="F28" s="123">
        <v>5000</v>
      </c>
      <c r="G28" s="124">
        <v>10000</v>
      </c>
      <c r="H28" s="41">
        <f t="shared" si="0"/>
        <v>-0.23076923076923078</v>
      </c>
      <c r="I28" s="27">
        <f t="shared" si="1"/>
        <v>1</v>
      </c>
    </row>
    <row r="29" spans="1:9" x14ac:dyDescent="0.3">
      <c r="A29" s="18" t="s">
        <v>754</v>
      </c>
      <c r="B29" s="18" t="s">
        <v>772</v>
      </c>
      <c r="C29" s="18"/>
      <c r="D29" s="18"/>
      <c r="E29" s="123">
        <v>0</v>
      </c>
      <c r="F29" s="123">
        <v>0</v>
      </c>
      <c r="G29" s="124">
        <v>0</v>
      </c>
      <c r="H29" s="41" t="e">
        <f t="shared" si="0"/>
        <v>#DIV/0!</v>
      </c>
      <c r="I29" s="27" t="e">
        <f t="shared" si="1"/>
        <v>#DIV/0!</v>
      </c>
    </row>
    <row r="30" spans="1:9" x14ac:dyDescent="0.3">
      <c r="A30" s="18" t="s">
        <v>722</v>
      </c>
      <c r="B30" s="18" t="s">
        <v>728</v>
      </c>
      <c r="C30" s="18"/>
      <c r="D30" s="18"/>
      <c r="E30" s="123">
        <v>500</v>
      </c>
      <c r="F30" s="123">
        <v>500</v>
      </c>
      <c r="G30" s="124">
        <v>0</v>
      </c>
      <c r="H30" s="41">
        <f t="shared" si="0"/>
        <v>0</v>
      </c>
      <c r="I30" s="27">
        <f t="shared" si="1"/>
        <v>-1</v>
      </c>
    </row>
    <row r="31" spans="1:9" x14ac:dyDescent="0.3">
      <c r="A31" s="18" t="s">
        <v>725</v>
      </c>
      <c r="B31" s="18" t="s">
        <v>730</v>
      </c>
      <c r="C31" s="18"/>
      <c r="D31" s="18"/>
      <c r="E31" s="123">
        <v>1250</v>
      </c>
      <c r="F31" s="123">
        <v>2000</v>
      </c>
      <c r="G31" s="124">
        <v>1250</v>
      </c>
      <c r="H31" s="41">
        <f t="shared" si="0"/>
        <v>0.6</v>
      </c>
      <c r="I31" s="27">
        <f t="shared" si="1"/>
        <v>-0.375</v>
      </c>
    </row>
    <row r="32" spans="1:9" x14ac:dyDescent="0.3">
      <c r="A32" s="18" t="s">
        <v>723</v>
      </c>
      <c r="B32" s="18" t="s">
        <v>372</v>
      </c>
      <c r="C32" s="18"/>
      <c r="D32" s="18"/>
      <c r="E32" s="123">
        <v>500</v>
      </c>
      <c r="F32" s="123">
        <v>1000</v>
      </c>
      <c r="G32" s="124">
        <v>500</v>
      </c>
      <c r="H32" s="41">
        <f t="shared" si="0"/>
        <v>1</v>
      </c>
      <c r="I32" s="27">
        <f t="shared" si="1"/>
        <v>-0.5</v>
      </c>
    </row>
    <row r="33" spans="1:11" x14ac:dyDescent="0.3">
      <c r="A33" s="18" t="s">
        <v>362</v>
      </c>
      <c r="B33" s="18" t="s">
        <v>394</v>
      </c>
      <c r="C33" s="18"/>
      <c r="D33" s="18"/>
      <c r="E33" s="123">
        <v>0</v>
      </c>
      <c r="F33" s="123">
        <v>0</v>
      </c>
      <c r="G33" s="124">
        <v>0</v>
      </c>
      <c r="H33" s="41" t="e">
        <f t="shared" si="0"/>
        <v>#DIV/0!</v>
      </c>
      <c r="I33" s="27" t="e">
        <f t="shared" si="1"/>
        <v>#DIV/0!</v>
      </c>
    </row>
    <row r="34" spans="1:11" x14ac:dyDescent="0.3">
      <c r="A34" s="18" t="s">
        <v>755</v>
      </c>
      <c r="B34" s="18" t="s">
        <v>775</v>
      </c>
      <c r="C34" s="18"/>
      <c r="D34" s="18"/>
      <c r="E34" s="123">
        <v>250000</v>
      </c>
      <c r="F34" s="123">
        <v>200000</v>
      </c>
      <c r="G34" s="124">
        <v>150000</v>
      </c>
      <c r="H34" s="41">
        <f t="shared" si="0"/>
        <v>-0.2</v>
      </c>
      <c r="I34" s="27">
        <f t="shared" si="1"/>
        <v>-0.25</v>
      </c>
    </row>
    <row r="35" spans="1:11" x14ac:dyDescent="0.3">
      <c r="A35" s="18" t="s">
        <v>726</v>
      </c>
      <c r="B35" s="18" t="s">
        <v>776</v>
      </c>
      <c r="C35" s="18"/>
      <c r="D35" s="18"/>
      <c r="E35" s="123">
        <v>0</v>
      </c>
      <c r="F35" s="123">
        <v>0</v>
      </c>
      <c r="G35" s="124">
        <v>0</v>
      </c>
      <c r="H35" s="41" t="e">
        <f t="shared" si="0"/>
        <v>#DIV/0!</v>
      </c>
      <c r="I35" s="27" t="e">
        <f t="shared" si="1"/>
        <v>#DIV/0!</v>
      </c>
    </row>
    <row r="36" spans="1:11" x14ac:dyDescent="0.3">
      <c r="A36" s="18" t="s">
        <v>724</v>
      </c>
      <c r="B36" s="18" t="s">
        <v>729</v>
      </c>
      <c r="C36" s="18"/>
      <c r="D36" s="18"/>
      <c r="E36" s="123">
        <v>0</v>
      </c>
      <c r="F36" s="123">
        <v>0</v>
      </c>
      <c r="G36" s="124">
        <v>0</v>
      </c>
      <c r="H36" s="41" t="e">
        <f t="shared" si="0"/>
        <v>#DIV/0!</v>
      </c>
      <c r="I36" s="27" t="e">
        <f t="shared" si="1"/>
        <v>#DIV/0!</v>
      </c>
    </row>
    <row r="37" spans="1:11" x14ac:dyDescent="0.3">
      <c r="A37" s="18"/>
      <c r="B37" s="24" t="s">
        <v>7</v>
      </c>
      <c r="C37" s="24"/>
      <c r="D37" s="24"/>
      <c r="E37" s="125">
        <f>SUM(E10:E36)</f>
        <v>805250</v>
      </c>
      <c r="F37" s="125">
        <f>SUM(F10:F36)</f>
        <v>817250</v>
      </c>
      <c r="G37" s="126">
        <f>SUM(G10:G36)</f>
        <v>769250</v>
      </c>
      <c r="H37" s="42">
        <f t="shared" si="0"/>
        <v>1.4902204284383732E-2</v>
      </c>
      <c r="I37" s="29">
        <f t="shared" si="1"/>
        <v>-5.873355766289385E-2</v>
      </c>
    </row>
    <row r="39" spans="1:11" x14ac:dyDescent="0.3">
      <c r="A39" s="24" t="s">
        <v>777</v>
      </c>
      <c r="B39" s="18"/>
      <c r="C39" s="18"/>
      <c r="D39" s="18"/>
      <c r="E39" s="22" t="s">
        <v>1</v>
      </c>
      <c r="F39" s="22" t="s">
        <v>901</v>
      </c>
      <c r="G39" s="23" t="s">
        <v>2</v>
      </c>
      <c r="H39" s="22" t="s">
        <v>3</v>
      </c>
      <c r="I39" s="23" t="s">
        <v>3</v>
      </c>
    </row>
    <row r="40" spans="1:11" x14ac:dyDescent="0.3">
      <c r="A40" s="18"/>
      <c r="B40" s="18"/>
      <c r="C40" s="18"/>
      <c r="D40" s="18"/>
      <c r="E40" s="22">
        <v>2022</v>
      </c>
      <c r="F40" s="22">
        <v>2023</v>
      </c>
      <c r="G40" s="23">
        <v>2024</v>
      </c>
      <c r="H40" s="22" t="s">
        <v>894</v>
      </c>
      <c r="I40" s="23" t="s">
        <v>902</v>
      </c>
    </row>
    <row r="41" spans="1:11" x14ac:dyDescent="0.3">
      <c r="A41" s="18" t="s">
        <v>7</v>
      </c>
      <c r="B41" s="18"/>
      <c r="C41" s="18"/>
      <c r="D41" s="18"/>
      <c r="E41" s="125">
        <f>(E37)</f>
        <v>805250</v>
      </c>
      <c r="F41" s="125">
        <f>(F37)</f>
        <v>817250</v>
      </c>
      <c r="G41" s="126">
        <f>(G37)</f>
        <v>769250</v>
      </c>
      <c r="H41" s="42">
        <f>(F41-E41)/E41</f>
        <v>1.4902204284383732E-2</v>
      </c>
      <c r="I41" s="29">
        <f>(G41-F41)/F41</f>
        <v>-5.873355766289385E-2</v>
      </c>
    </row>
    <row r="42" spans="1:11" x14ac:dyDescent="0.3">
      <c r="A42" s="1"/>
      <c r="B42" s="7"/>
      <c r="I42" s="2"/>
      <c r="J42" s="2"/>
    </row>
    <row r="43" spans="1:11" x14ac:dyDescent="0.3">
      <c r="B43" s="7"/>
      <c r="I43" s="2"/>
      <c r="J43" s="2"/>
    </row>
    <row r="44" spans="1:11" x14ac:dyDescent="0.3">
      <c r="B44" s="6"/>
      <c r="C44" s="6"/>
      <c r="D44" s="6"/>
      <c r="E44" s="6" t="s">
        <v>778</v>
      </c>
      <c r="F44" s="6"/>
      <c r="G44" s="6"/>
      <c r="H44" s="6"/>
      <c r="I44" s="46"/>
      <c r="J44" s="46"/>
      <c r="K44" s="6"/>
    </row>
  </sheetData>
  <printOptions horizontalCentered="1" gridLines="1"/>
  <pageMargins left="1" right="1" top="1" bottom="1" header="0.5" footer="0.5"/>
  <pageSetup fitToWidth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0"/>
  <sheetViews>
    <sheetView topLeftCell="A10" workbookViewId="0">
      <selection activeCell="I12" sqref="I12"/>
    </sheetView>
  </sheetViews>
  <sheetFormatPr defaultRowHeight="14.4" x14ac:dyDescent="0.3"/>
  <cols>
    <col min="1" max="1" width="9.44140625" customWidth="1"/>
    <col min="2" max="2" width="34.88671875" bestFit="1" customWidth="1"/>
    <col min="3" max="5" width="11.21875" bestFit="1" customWidth="1"/>
  </cols>
  <sheetData>
    <row r="1" spans="1:12" x14ac:dyDescent="0.3">
      <c r="A1" s="18" t="s">
        <v>905</v>
      </c>
      <c r="B1" s="18"/>
      <c r="C1" s="18"/>
      <c r="D1" s="18"/>
      <c r="E1" s="18"/>
      <c r="F1" s="18"/>
      <c r="G1" s="66"/>
      <c r="H1" s="66"/>
    </row>
    <row r="2" spans="1:12" x14ac:dyDescent="0.3">
      <c r="A2" s="75"/>
      <c r="B2" s="75"/>
      <c r="C2" s="76" t="s">
        <v>906</v>
      </c>
      <c r="D2" s="76" t="s">
        <v>906</v>
      </c>
      <c r="E2" s="77" t="s">
        <v>2</v>
      </c>
      <c r="F2" s="76" t="s">
        <v>3</v>
      </c>
      <c r="G2" s="77" t="s">
        <v>3</v>
      </c>
      <c r="H2" s="16"/>
      <c r="I2" s="16"/>
      <c r="J2" s="16"/>
      <c r="K2" s="16"/>
      <c r="L2" s="16"/>
    </row>
    <row r="3" spans="1:12" x14ac:dyDescent="0.3">
      <c r="A3" s="75"/>
      <c r="B3" s="75"/>
      <c r="C3" s="76">
        <v>2022</v>
      </c>
      <c r="D3" s="76">
        <v>2023</v>
      </c>
      <c r="E3" s="77">
        <v>2024</v>
      </c>
      <c r="F3" s="76" t="s">
        <v>894</v>
      </c>
      <c r="G3" s="77" t="s">
        <v>902</v>
      </c>
      <c r="H3" s="16"/>
      <c r="I3" s="16"/>
      <c r="J3" s="16"/>
      <c r="K3" s="16"/>
      <c r="L3" s="16"/>
    </row>
    <row r="4" spans="1:12" x14ac:dyDescent="0.3">
      <c r="A4" s="78" t="s">
        <v>845</v>
      </c>
      <c r="B4" s="78" t="s">
        <v>305</v>
      </c>
      <c r="C4" s="137">
        <v>225000</v>
      </c>
      <c r="D4" s="137">
        <v>235000</v>
      </c>
      <c r="E4" s="138">
        <v>255000</v>
      </c>
      <c r="F4" s="79">
        <v>0.04</v>
      </c>
      <c r="G4" s="80">
        <v>0.09</v>
      </c>
      <c r="I4" s="82"/>
      <c r="J4" s="82"/>
      <c r="K4" s="82"/>
      <c r="L4" s="82"/>
    </row>
    <row r="5" spans="1:12" x14ac:dyDescent="0.3">
      <c r="A5" s="78" t="s">
        <v>846</v>
      </c>
      <c r="B5" s="78" t="s">
        <v>489</v>
      </c>
      <c r="C5" s="137">
        <v>35831</v>
      </c>
      <c r="D5" s="137">
        <v>35831</v>
      </c>
      <c r="E5" s="138">
        <v>35831</v>
      </c>
      <c r="F5" s="79">
        <v>0</v>
      </c>
      <c r="G5" s="80">
        <v>0</v>
      </c>
      <c r="I5" s="82"/>
      <c r="J5" s="82"/>
      <c r="K5" s="82"/>
      <c r="L5" s="82"/>
    </row>
    <row r="6" spans="1:12" x14ac:dyDescent="0.3">
      <c r="A6" s="78" t="s">
        <v>847</v>
      </c>
      <c r="B6" s="78" t="s">
        <v>490</v>
      </c>
      <c r="C6" s="137">
        <v>16000</v>
      </c>
      <c r="D6" s="137">
        <v>16000</v>
      </c>
      <c r="E6" s="138">
        <v>16000</v>
      </c>
      <c r="F6" s="79">
        <v>0</v>
      </c>
      <c r="G6" s="80">
        <v>0</v>
      </c>
      <c r="I6" s="82"/>
      <c r="J6" s="82"/>
      <c r="K6" s="82"/>
      <c r="L6" s="82"/>
    </row>
    <row r="7" spans="1:12" x14ac:dyDescent="0.3">
      <c r="A7" s="78" t="s">
        <v>848</v>
      </c>
      <c r="B7" s="78" t="s">
        <v>491</v>
      </c>
      <c r="C7" s="137">
        <v>3658</v>
      </c>
      <c r="D7" s="137">
        <v>3658</v>
      </c>
      <c r="E7" s="138">
        <v>3658</v>
      </c>
      <c r="F7" s="79">
        <v>0</v>
      </c>
      <c r="G7" s="80">
        <v>0</v>
      </c>
      <c r="I7" s="82"/>
      <c r="J7" s="82"/>
      <c r="K7" s="82"/>
      <c r="L7" s="82"/>
    </row>
    <row r="8" spans="1:12" x14ac:dyDescent="0.3">
      <c r="A8" s="78" t="s">
        <v>849</v>
      </c>
      <c r="B8" s="78" t="s">
        <v>428</v>
      </c>
      <c r="C8" s="137">
        <v>12825</v>
      </c>
      <c r="D8" s="137">
        <v>12825</v>
      </c>
      <c r="E8" s="138">
        <v>10000</v>
      </c>
      <c r="F8" s="79">
        <v>0</v>
      </c>
      <c r="G8" s="80">
        <v>-0.22</v>
      </c>
      <c r="I8" s="82"/>
      <c r="J8" s="82"/>
      <c r="K8" s="82"/>
      <c r="L8" s="82"/>
    </row>
    <row r="9" spans="1:12" x14ac:dyDescent="0.3">
      <c r="A9" s="78" t="s">
        <v>855</v>
      </c>
      <c r="B9" s="78" t="s">
        <v>860</v>
      </c>
      <c r="C9" s="137">
        <v>3000</v>
      </c>
      <c r="D9" s="137">
        <v>3000</v>
      </c>
      <c r="E9" s="138">
        <v>3000</v>
      </c>
      <c r="F9" s="79">
        <v>0</v>
      </c>
      <c r="G9" s="80">
        <v>0</v>
      </c>
      <c r="I9" s="82"/>
      <c r="J9" s="82"/>
      <c r="K9" s="82"/>
      <c r="L9" s="82"/>
    </row>
    <row r="10" spans="1:12" x14ac:dyDescent="0.3">
      <c r="A10" s="78" t="s">
        <v>850</v>
      </c>
      <c r="B10" s="78" t="s">
        <v>418</v>
      </c>
      <c r="C10" s="137">
        <v>25000</v>
      </c>
      <c r="D10" s="137">
        <v>11000</v>
      </c>
      <c r="E10" s="138">
        <v>11000</v>
      </c>
      <c r="F10" s="79">
        <v>-0.56000000000000005</v>
      </c>
      <c r="G10" s="80">
        <v>0</v>
      </c>
      <c r="I10" s="82"/>
      <c r="J10" s="82"/>
      <c r="K10" s="82"/>
      <c r="L10" s="82"/>
    </row>
    <row r="11" spans="1:12" x14ac:dyDescent="0.3">
      <c r="A11" s="78" t="s">
        <v>851</v>
      </c>
      <c r="B11" s="78" t="s">
        <v>857</v>
      </c>
      <c r="C11" s="137">
        <v>700</v>
      </c>
      <c r="D11" s="137">
        <v>700</v>
      </c>
      <c r="E11" s="138">
        <v>1100</v>
      </c>
      <c r="F11" s="79">
        <v>0</v>
      </c>
      <c r="G11" s="80">
        <v>0.56999999999999995</v>
      </c>
      <c r="I11" s="82"/>
      <c r="J11" s="82"/>
      <c r="K11" s="82"/>
      <c r="L11" s="82"/>
    </row>
    <row r="12" spans="1:12" x14ac:dyDescent="0.3">
      <c r="A12" s="78" t="s">
        <v>852</v>
      </c>
      <c r="B12" s="78" t="s">
        <v>858</v>
      </c>
      <c r="C12" s="137">
        <v>3700</v>
      </c>
      <c r="D12" s="137">
        <v>3700</v>
      </c>
      <c r="E12" s="138">
        <v>3300</v>
      </c>
      <c r="F12" s="79">
        <v>0</v>
      </c>
      <c r="G12" s="80">
        <v>-0.11</v>
      </c>
      <c r="I12" s="82"/>
      <c r="J12" s="82"/>
      <c r="K12" s="82"/>
      <c r="L12" s="82"/>
    </row>
    <row r="13" spans="1:12" x14ac:dyDescent="0.3">
      <c r="A13" s="78" t="s">
        <v>853</v>
      </c>
      <c r="B13" s="78" t="s">
        <v>859</v>
      </c>
      <c r="C13" s="137">
        <v>11000</v>
      </c>
      <c r="D13" s="137">
        <v>8000</v>
      </c>
      <c r="E13" s="138">
        <v>5500</v>
      </c>
      <c r="F13" s="79">
        <v>-0.27</v>
      </c>
      <c r="G13" s="80">
        <v>-0.31</v>
      </c>
      <c r="I13" s="82"/>
      <c r="J13" s="82"/>
      <c r="K13" s="82"/>
      <c r="L13" s="82"/>
    </row>
    <row r="14" spans="1:12" x14ac:dyDescent="0.3">
      <c r="A14" s="78" t="s">
        <v>907</v>
      </c>
      <c r="B14" s="78" t="s">
        <v>908</v>
      </c>
      <c r="C14" s="137">
        <v>0</v>
      </c>
      <c r="D14" s="137">
        <v>3000</v>
      </c>
      <c r="E14" s="138">
        <v>3000</v>
      </c>
      <c r="F14" s="79">
        <v>0</v>
      </c>
      <c r="G14" s="80">
        <v>0</v>
      </c>
      <c r="I14" s="82"/>
      <c r="J14" s="82"/>
      <c r="K14" s="82"/>
      <c r="L14" s="82"/>
    </row>
    <row r="15" spans="1:12" x14ac:dyDescent="0.3">
      <c r="A15" s="78" t="s">
        <v>854</v>
      </c>
      <c r="B15" s="78" t="s">
        <v>909</v>
      </c>
      <c r="C15" s="137">
        <v>1500</v>
      </c>
      <c r="D15" s="137">
        <v>1500</v>
      </c>
      <c r="E15" s="138">
        <v>700</v>
      </c>
      <c r="F15" s="79">
        <v>0</v>
      </c>
      <c r="G15" s="80">
        <v>-0.53</v>
      </c>
      <c r="I15" s="82"/>
      <c r="J15" s="82"/>
      <c r="K15" s="82"/>
      <c r="L15" s="82"/>
    </row>
    <row r="16" spans="1:12" x14ac:dyDescent="0.3">
      <c r="A16" s="78" t="s">
        <v>854</v>
      </c>
      <c r="B16" s="78" t="s">
        <v>910</v>
      </c>
      <c r="C16" s="137">
        <v>34713</v>
      </c>
      <c r="D16" s="137">
        <v>45000</v>
      </c>
      <c r="E16" s="138">
        <v>42000</v>
      </c>
      <c r="F16" s="79">
        <v>0.3</v>
      </c>
      <c r="G16" s="80">
        <v>-7.0000000000000007E-2</v>
      </c>
      <c r="I16" s="82"/>
      <c r="J16" s="82"/>
      <c r="K16" s="82"/>
      <c r="L16" s="82"/>
    </row>
    <row r="17" spans="1:12" x14ac:dyDescent="0.3">
      <c r="A17" s="78" t="s">
        <v>854</v>
      </c>
      <c r="B17" s="78" t="s">
        <v>911</v>
      </c>
      <c r="C17" s="137">
        <v>5200</v>
      </c>
      <c r="D17" s="137">
        <v>5200</v>
      </c>
      <c r="E17" s="138">
        <v>5200</v>
      </c>
      <c r="F17" s="79">
        <v>0</v>
      </c>
      <c r="G17" s="80">
        <v>0</v>
      </c>
      <c r="I17" s="82"/>
      <c r="J17" s="82"/>
      <c r="K17" s="82"/>
      <c r="L17" s="82"/>
    </row>
    <row r="18" spans="1:12" x14ac:dyDescent="0.3">
      <c r="A18" s="78" t="s">
        <v>854</v>
      </c>
      <c r="B18" s="78" t="s">
        <v>912</v>
      </c>
      <c r="C18" s="137">
        <v>38332</v>
      </c>
      <c r="D18" s="137">
        <v>35240</v>
      </c>
      <c r="E18" s="138">
        <v>34000</v>
      </c>
      <c r="F18" s="79">
        <v>-0.08</v>
      </c>
      <c r="G18" s="80">
        <v>-0.04</v>
      </c>
      <c r="I18" s="82"/>
      <c r="J18" s="82"/>
      <c r="K18" s="82"/>
      <c r="L18" s="82"/>
    </row>
    <row r="19" spans="1:12" x14ac:dyDescent="0.3">
      <c r="A19" s="78" t="s">
        <v>854</v>
      </c>
      <c r="B19" s="78" t="s">
        <v>913</v>
      </c>
      <c r="C19" s="137">
        <v>27000</v>
      </c>
      <c r="D19" s="137">
        <v>27000</v>
      </c>
      <c r="E19" s="138">
        <v>25000</v>
      </c>
      <c r="F19" s="79">
        <v>0</v>
      </c>
      <c r="G19" s="80">
        <v>-7.0000000000000007E-2</v>
      </c>
      <c r="I19" s="83"/>
      <c r="J19" s="83"/>
      <c r="K19" s="82"/>
      <c r="L19" s="82"/>
    </row>
    <row r="20" spans="1:12" x14ac:dyDescent="0.3">
      <c r="A20" s="78" t="s">
        <v>854</v>
      </c>
      <c r="B20" s="78" t="s">
        <v>914</v>
      </c>
      <c r="C20" s="137">
        <v>10916</v>
      </c>
      <c r="D20" s="137">
        <v>10916</v>
      </c>
      <c r="E20" s="138">
        <v>8000</v>
      </c>
      <c r="F20" s="79">
        <v>0</v>
      </c>
      <c r="G20" s="80">
        <v>-0.27</v>
      </c>
    </row>
    <row r="21" spans="1:12" x14ac:dyDescent="0.3">
      <c r="A21" s="78" t="s">
        <v>915</v>
      </c>
      <c r="B21" s="78" t="s">
        <v>916</v>
      </c>
      <c r="C21" s="137">
        <v>12360</v>
      </c>
      <c r="D21" s="137">
        <v>14000</v>
      </c>
      <c r="E21" s="138">
        <v>14000</v>
      </c>
      <c r="F21" s="79">
        <v>0.13</v>
      </c>
      <c r="G21" s="80">
        <v>0</v>
      </c>
    </row>
    <row r="22" spans="1:12" x14ac:dyDescent="0.3">
      <c r="A22" s="78" t="s">
        <v>915</v>
      </c>
      <c r="B22" s="78" t="s">
        <v>917</v>
      </c>
      <c r="C22" s="139">
        <v>0</v>
      </c>
      <c r="D22" s="137">
        <v>1500</v>
      </c>
      <c r="E22" s="138">
        <v>1500</v>
      </c>
      <c r="F22" s="79">
        <v>15</v>
      </c>
      <c r="G22" s="80">
        <v>0</v>
      </c>
    </row>
    <row r="23" spans="1:12" x14ac:dyDescent="0.3">
      <c r="A23" s="78" t="s">
        <v>856</v>
      </c>
      <c r="B23" s="78" t="s">
        <v>861</v>
      </c>
      <c r="C23" s="139">
        <v>0</v>
      </c>
      <c r="D23" s="139">
        <v>0</v>
      </c>
      <c r="E23" s="138">
        <v>0</v>
      </c>
      <c r="F23" s="79">
        <v>0</v>
      </c>
      <c r="G23" s="80">
        <v>0</v>
      </c>
    </row>
    <row r="24" spans="1:12" x14ac:dyDescent="0.3">
      <c r="A24" s="75"/>
      <c r="B24" s="75" t="s">
        <v>918</v>
      </c>
      <c r="C24" s="139">
        <v>466735</v>
      </c>
      <c r="D24" s="139">
        <v>473070</v>
      </c>
      <c r="E24" s="138">
        <v>477789</v>
      </c>
      <c r="F24" s="79">
        <v>0.01</v>
      </c>
      <c r="G24" s="80">
        <v>0.01</v>
      </c>
    </row>
    <row r="25" spans="1:12" x14ac:dyDescent="0.3">
      <c r="A25" s="75"/>
      <c r="B25" s="75"/>
      <c r="C25" s="139"/>
      <c r="D25" s="139"/>
      <c r="E25" s="140"/>
      <c r="F25" s="75"/>
      <c r="G25" s="81"/>
    </row>
    <row r="26" spans="1:12" x14ac:dyDescent="0.3">
      <c r="A26" s="75" t="s">
        <v>919</v>
      </c>
      <c r="B26" s="75"/>
      <c r="C26" s="139">
        <v>200000</v>
      </c>
      <c r="D26" s="139">
        <v>185000</v>
      </c>
      <c r="E26" s="138">
        <v>200000</v>
      </c>
      <c r="F26" s="79">
        <v>-0.08</v>
      </c>
      <c r="G26" s="80">
        <v>0.08</v>
      </c>
    </row>
    <row r="27" spans="1:12" x14ac:dyDescent="0.3">
      <c r="A27" s="75" t="s">
        <v>920</v>
      </c>
      <c r="B27" s="75"/>
      <c r="C27" s="141">
        <v>267005</v>
      </c>
      <c r="D27" s="139">
        <v>263070</v>
      </c>
      <c r="E27" s="138">
        <v>246538</v>
      </c>
      <c r="F27" s="79">
        <v>-0.01</v>
      </c>
      <c r="G27" s="80">
        <v>-0.06</v>
      </c>
    </row>
    <row r="28" spans="1:12" x14ac:dyDescent="0.3">
      <c r="A28" s="75" t="s">
        <v>921</v>
      </c>
      <c r="B28" s="75"/>
      <c r="C28" s="139">
        <v>0</v>
      </c>
      <c r="D28" s="139">
        <v>25000</v>
      </c>
      <c r="E28" s="138">
        <v>15000</v>
      </c>
      <c r="F28" s="75"/>
      <c r="G28" s="81"/>
    </row>
    <row r="29" spans="1:12" x14ac:dyDescent="0.3">
      <c r="A29" s="75" t="s">
        <v>922</v>
      </c>
      <c r="B29" s="75"/>
      <c r="C29" s="139">
        <v>0</v>
      </c>
      <c r="D29" s="139">
        <v>0</v>
      </c>
      <c r="E29" s="138">
        <v>2800</v>
      </c>
      <c r="F29" s="75"/>
      <c r="G29" s="81"/>
    </row>
    <row r="30" spans="1:12" x14ac:dyDescent="0.3">
      <c r="A30" s="75"/>
      <c r="B30" s="75" t="s">
        <v>923</v>
      </c>
      <c r="C30" s="139">
        <v>467005</v>
      </c>
      <c r="D30" s="139">
        <v>473070</v>
      </c>
      <c r="E30" s="139">
        <v>464338</v>
      </c>
      <c r="F30" s="79">
        <v>0.01</v>
      </c>
      <c r="G30" s="79">
        <v>-0.02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3"/>
  <sheetViews>
    <sheetView view="pageLayout" topLeftCell="A7" zoomScale="85" zoomScaleNormal="80" zoomScalePageLayoutView="85" workbookViewId="0">
      <selection activeCell="F11" sqref="F11"/>
    </sheetView>
  </sheetViews>
  <sheetFormatPr defaultRowHeight="14.4" x14ac:dyDescent="0.3"/>
  <cols>
    <col min="1" max="1" width="9.33203125" customWidth="1"/>
    <col min="3" max="3" width="8.6640625" customWidth="1"/>
    <col min="4" max="4" width="11.44140625" bestFit="1" customWidth="1"/>
    <col min="5" max="5" width="13.33203125" bestFit="1" customWidth="1"/>
    <col min="6" max="6" width="11.6640625" customWidth="1"/>
    <col min="7" max="8" width="11.5546875" customWidth="1"/>
    <col min="9" max="9" width="11.6640625" customWidth="1"/>
    <col min="12" max="12" width="10.109375" customWidth="1"/>
    <col min="13" max="13" width="11.88671875" customWidth="1"/>
    <col min="14" max="14" width="10.5546875" customWidth="1"/>
    <col min="15" max="15" width="9.88671875" customWidth="1"/>
    <col min="16" max="16" width="10.109375" customWidth="1"/>
    <col min="18" max="18" width="10.33203125" customWidth="1"/>
    <col min="19" max="20" width="10" customWidth="1"/>
    <col min="21" max="21" width="10.33203125" customWidth="1"/>
    <col min="25" max="25" width="9.109375" customWidth="1"/>
  </cols>
  <sheetData>
    <row r="1" spans="1:16" x14ac:dyDescent="0.3">
      <c r="I1" s="24" t="s">
        <v>176</v>
      </c>
      <c r="J1" s="18"/>
      <c r="K1" s="18"/>
      <c r="L1" s="22" t="s">
        <v>1</v>
      </c>
      <c r="M1" s="22" t="s">
        <v>901</v>
      </c>
      <c r="N1" s="23" t="s">
        <v>2</v>
      </c>
      <c r="O1" s="22" t="s">
        <v>3</v>
      </c>
      <c r="P1" s="23" t="s">
        <v>3</v>
      </c>
    </row>
    <row r="2" spans="1:16" x14ac:dyDescent="0.3">
      <c r="I2" s="18"/>
      <c r="J2" s="18"/>
      <c r="K2" s="18"/>
      <c r="L2" s="22">
        <v>2022</v>
      </c>
      <c r="M2" s="22">
        <v>2023</v>
      </c>
      <c r="N2" s="23">
        <v>2024</v>
      </c>
      <c r="O2" s="22" t="s">
        <v>894</v>
      </c>
      <c r="P2" s="23" t="s">
        <v>902</v>
      </c>
    </row>
    <row r="3" spans="1:16" x14ac:dyDescent="0.3">
      <c r="I3" s="18" t="s">
        <v>4</v>
      </c>
      <c r="J3" s="34" t="s">
        <v>179</v>
      </c>
      <c r="K3" s="18"/>
      <c r="L3" s="18">
        <v>200000</v>
      </c>
      <c r="M3" s="21">
        <v>185000</v>
      </c>
      <c r="N3" s="124">
        <v>200000</v>
      </c>
      <c r="O3" s="41">
        <f>(M3-L3)/L3</f>
        <v>-7.4999999999999997E-2</v>
      </c>
      <c r="P3" s="27">
        <f>(N3-M3)/M3</f>
        <v>8.1081081081081086E-2</v>
      </c>
    </row>
    <row r="4" spans="1:16" x14ac:dyDescent="0.3">
      <c r="I4" s="18" t="s">
        <v>177</v>
      </c>
      <c r="J4" s="34" t="s">
        <v>180</v>
      </c>
      <c r="K4" s="18"/>
      <c r="L4" s="18">
        <v>267005</v>
      </c>
      <c r="M4" s="21">
        <v>270000</v>
      </c>
      <c r="N4" s="124">
        <v>245000</v>
      </c>
      <c r="O4" s="41">
        <f>(M4-L4)/L4</f>
        <v>1.1217018407894984E-2</v>
      </c>
      <c r="P4" s="27">
        <f t="shared" ref="P4:P7" si="0">(N4-M4)/M4</f>
        <v>-9.2592592592592587E-2</v>
      </c>
    </row>
    <row r="5" spans="1:16" x14ac:dyDescent="0.3">
      <c r="I5" s="18" t="s">
        <v>178</v>
      </c>
      <c r="J5" s="34" t="s">
        <v>181</v>
      </c>
      <c r="K5" s="18"/>
      <c r="L5" s="18">
        <v>0</v>
      </c>
      <c r="M5" s="18">
        <v>0</v>
      </c>
      <c r="N5" s="124">
        <v>0</v>
      </c>
      <c r="O5" s="41" t="e">
        <f>(M5-L5)/L5</f>
        <v>#DIV/0!</v>
      </c>
      <c r="P5" s="27" t="e">
        <f t="shared" si="0"/>
        <v>#DIV/0!</v>
      </c>
    </row>
    <row r="6" spans="1:16" x14ac:dyDescent="0.3">
      <c r="I6" s="18" t="s">
        <v>153</v>
      </c>
      <c r="J6" s="34" t="s">
        <v>182</v>
      </c>
      <c r="K6" s="18"/>
      <c r="L6" s="18">
        <v>0</v>
      </c>
      <c r="M6" s="18">
        <v>0</v>
      </c>
      <c r="N6" s="124">
        <v>0</v>
      </c>
      <c r="O6" s="41" t="e">
        <f>(M6-L6)/L6</f>
        <v>#DIV/0!</v>
      </c>
      <c r="P6" s="27" t="e">
        <f t="shared" si="0"/>
        <v>#DIV/0!</v>
      </c>
    </row>
    <row r="7" spans="1:16" x14ac:dyDescent="0.3">
      <c r="I7" s="18"/>
      <c r="J7" s="24" t="s">
        <v>7</v>
      </c>
      <c r="K7" s="24"/>
      <c r="L7" s="24">
        <f>SUM(L3:L6)</f>
        <v>467005</v>
      </c>
      <c r="M7" s="25">
        <f>SUM(M3:M6)</f>
        <v>455000</v>
      </c>
      <c r="N7" s="126">
        <f>SUM(N3:N6)</f>
        <v>445000</v>
      </c>
      <c r="O7" s="42">
        <f>(M7-L7)/L7</f>
        <v>-2.5706362886906992E-2</v>
      </c>
      <c r="P7" s="29">
        <f t="shared" si="0"/>
        <v>-2.197802197802198E-2</v>
      </c>
    </row>
    <row r="8" spans="1:16" x14ac:dyDescent="0.3">
      <c r="A8" s="24" t="s">
        <v>0</v>
      </c>
      <c r="B8" s="18"/>
      <c r="C8" s="18"/>
      <c r="D8" s="22" t="s">
        <v>1</v>
      </c>
      <c r="E8" s="22" t="s">
        <v>901</v>
      </c>
      <c r="F8" s="23" t="s">
        <v>9</v>
      </c>
      <c r="G8" s="22" t="s">
        <v>3</v>
      </c>
      <c r="H8" s="23" t="s">
        <v>3</v>
      </c>
    </row>
    <row r="9" spans="1:16" x14ac:dyDescent="0.3">
      <c r="A9" s="18"/>
      <c r="B9" s="18"/>
      <c r="C9" s="18"/>
      <c r="D9" s="22">
        <v>2022</v>
      </c>
      <c r="E9" s="22">
        <v>2023</v>
      </c>
      <c r="F9" s="23">
        <v>2024</v>
      </c>
      <c r="G9" s="22" t="s">
        <v>894</v>
      </c>
      <c r="H9" s="23" t="s">
        <v>902</v>
      </c>
      <c r="I9" s="24" t="s">
        <v>183</v>
      </c>
      <c r="J9" s="51"/>
      <c r="K9" s="18"/>
      <c r="L9" s="22" t="s">
        <v>1</v>
      </c>
      <c r="M9" s="22" t="s">
        <v>901</v>
      </c>
      <c r="N9" s="23" t="s">
        <v>2</v>
      </c>
      <c r="O9" s="22" t="s">
        <v>3</v>
      </c>
      <c r="P9" s="23" t="s">
        <v>3</v>
      </c>
    </row>
    <row r="10" spans="1:16" x14ac:dyDescent="0.3">
      <c r="A10" s="18" t="s">
        <v>4</v>
      </c>
      <c r="B10" s="34" t="s">
        <v>5</v>
      </c>
      <c r="C10" s="18"/>
      <c r="D10" s="123">
        <v>1300000</v>
      </c>
      <c r="E10" s="123">
        <f>2205132-185000-E11</f>
        <v>1429187</v>
      </c>
      <c r="F10" s="147">
        <f>2448662-F11-Library!E26</f>
        <v>1657746</v>
      </c>
      <c r="G10" s="41">
        <f>(E10-D10)/D10</f>
        <v>9.9374615384615381E-2</v>
      </c>
      <c r="H10" s="27">
        <f>(F10-E10)/E10</f>
        <v>0.15992238944238926</v>
      </c>
      <c r="I10" s="18"/>
      <c r="J10" s="51"/>
      <c r="K10" s="18"/>
      <c r="L10" s="22">
        <v>2022</v>
      </c>
      <c r="M10" s="22">
        <v>2023</v>
      </c>
      <c r="N10" s="23">
        <v>2024</v>
      </c>
      <c r="O10" s="22" t="s">
        <v>894</v>
      </c>
      <c r="P10" s="23" t="s">
        <v>902</v>
      </c>
    </row>
    <row r="11" spans="1:16" x14ac:dyDescent="0.3">
      <c r="A11" s="18" t="s">
        <v>4</v>
      </c>
      <c r="B11" s="34" t="s">
        <v>6</v>
      </c>
      <c r="C11" s="18"/>
      <c r="D11" s="123">
        <v>420000</v>
      </c>
      <c r="E11" s="123">
        <v>590945</v>
      </c>
      <c r="F11" s="147">
        <v>590916</v>
      </c>
      <c r="G11" s="41">
        <f>(E11-D11)/D11</f>
        <v>0.40701190476190474</v>
      </c>
      <c r="H11" s="27">
        <f t="shared" ref="H11:H12" si="1">(F11-E11)/E11</f>
        <v>-4.90739408912843E-5</v>
      </c>
      <c r="I11" s="18" t="s">
        <v>184</v>
      </c>
      <c r="J11" s="56" t="s">
        <v>186</v>
      </c>
      <c r="K11" s="18"/>
      <c r="L11" s="18">
        <v>350000</v>
      </c>
      <c r="M11" s="21">
        <v>350000</v>
      </c>
      <c r="N11" s="124">
        <v>350000</v>
      </c>
      <c r="O11" s="41">
        <f>(M11-L11)/L11</f>
        <v>0</v>
      </c>
      <c r="P11" s="27">
        <f>(N11-M11)/M11</f>
        <v>0</v>
      </c>
    </row>
    <row r="12" spans="1:16" x14ac:dyDescent="0.3">
      <c r="A12" s="18"/>
      <c r="B12" s="24" t="s">
        <v>7</v>
      </c>
      <c r="C12" s="18"/>
      <c r="D12" s="125">
        <f>SUM(D10:D11)</f>
        <v>1720000</v>
      </c>
      <c r="E12" s="125">
        <f>SUM(E10:E11)</f>
        <v>2020132</v>
      </c>
      <c r="F12" s="126">
        <f>SUM(F10:F11)</f>
        <v>2248662</v>
      </c>
      <c r="G12" s="42">
        <f>(E12-D12)/D12</f>
        <v>0.1744953488372093</v>
      </c>
      <c r="H12" s="29">
        <f t="shared" si="1"/>
        <v>0.11312627095655135</v>
      </c>
      <c r="I12" s="18" t="s">
        <v>185</v>
      </c>
      <c r="J12" s="56" t="s">
        <v>187</v>
      </c>
      <c r="K12" s="18"/>
      <c r="L12" s="18">
        <v>0</v>
      </c>
      <c r="M12" s="18">
        <v>0</v>
      </c>
      <c r="N12" s="124">
        <v>0</v>
      </c>
      <c r="O12" s="41" t="e">
        <f>(M12-L12)/L12</f>
        <v>#DIV/0!</v>
      </c>
      <c r="P12" s="27" t="e">
        <f t="shared" ref="P12:P14" si="2">(N12-M12)/M12</f>
        <v>#DIV/0!</v>
      </c>
    </row>
    <row r="13" spans="1:16" x14ac:dyDescent="0.3">
      <c r="I13" s="18" t="s">
        <v>153</v>
      </c>
      <c r="J13" s="56" t="s">
        <v>188</v>
      </c>
      <c r="K13" s="18"/>
      <c r="L13" s="18">
        <v>0</v>
      </c>
      <c r="M13" s="18">
        <v>0</v>
      </c>
      <c r="N13" s="124">
        <v>0</v>
      </c>
      <c r="O13" s="41" t="e">
        <f>(M13-L13)/L13</f>
        <v>#DIV/0!</v>
      </c>
      <c r="P13" s="27" t="e">
        <f t="shared" si="2"/>
        <v>#DIV/0!</v>
      </c>
    </row>
    <row r="14" spans="1:16" x14ac:dyDescent="0.3">
      <c r="I14" s="18"/>
      <c r="J14" s="52" t="s">
        <v>7</v>
      </c>
      <c r="K14" s="24"/>
      <c r="L14" s="24">
        <f>SUM(L11:L13)</f>
        <v>350000</v>
      </c>
      <c r="M14" s="25">
        <f>SUM(M11:M13)</f>
        <v>350000</v>
      </c>
      <c r="N14" s="126">
        <f>SUM(N11:N13)</f>
        <v>350000</v>
      </c>
      <c r="O14" s="42">
        <f>(M14-L14)/L14</f>
        <v>0</v>
      </c>
      <c r="P14" s="29">
        <f t="shared" si="2"/>
        <v>0</v>
      </c>
    </row>
    <row r="15" spans="1:16" x14ac:dyDescent="0.3">
      <c r="A15" s="24" t="s">
        <v>8</v>
      </c>
      <c r="B15" s="18"/>
      <c r="C15" s="18"/>
      <c r="D15" s="22" t="s">
        <v>1</v>
      </c>
      <c r="E15" s="22" t="s">
        <v>901</v>
      </c>
      <c r="F15" s="23" t="s">
        <v>2</v>
      </c>
      <c r="G15" s="22" t="s">
        <v>3</v>
      </c>
      <c r="H15" s="23" t="s">
        <v>3</v>
      </c>
      <c r="I15" s="18"/>
    </row>
    <row r="16" spans="1:16" x14ac:dyDescent="0.3">
      <c r="A16" s="18"/>
      <c r="B16" s="18"/>
      <c r="C16" s="18"/>
      <c r="D16" s="22">
        <v>2022</v>
      </c>
      <c r="E16" s="22">
        <v>2023</v>
      </c>
      <c r="F16" s="23">
        <v>2024</v>
      </c>
      <c r="G16" s="22" t="s">
        <v>894</v>
      </c>
      <c r="H16" s="23" t="s">
        <v>902</v>
      </c>
      <c r="I16" s="24" t="s">
        <v>189</v>
      </c>
      <c r="J16" s="51"/>
      <c r="K16" s="18"/>
      <c r="L16" s="22" t="s">
        <v>1</v>
      </c>
      <c r="M16" s="22" t="s">
        <v>901</v>
      </c>
      <c r="N16" s="23" t="s">
        <v>2</v>
      </c>
      <c r="O16" s="22" t="s">
        <v>3</v>
      </c>
      <c r="P16" s="23" t="s">
        <v>3</v>
      </c>
    </row>
    <row r="17" spans="1:23" x14ac:dyDescent="0.3">
      <c r="A17" s="18" t="s">
        <v>10</v>
      </c>
      <c r="B17" s="34" t="s">
        <v>11</v>
      </c>
      <c r="C17" s="18"/>
      <c r="D17" s="18">
        <v>45000</v>
      </c>
      <c r="E17" s="21">
        <v>45000</v>
      </c>
      <c r="F17" s="36">
        <v>45000</v>
      </c>
      <c r="G17" s="41">
        <f t="shared" ref="G17:H22" si="3">(E17-D17)/D17</f>
        <v>0</v>
      </c>
      <c r="H17" s="27">
        <f t="shared" si="3"/>
        <v>0</v>
      </c>
      <c r="I17" s="18"/>
      <c r="J17" s="51"/>
      <c r="K17" s="18"/>
      <c r="L17" s="22">
        <v>2022</v>
      </c>
      <c r="M17" s="22">
        <v>2023</v>
      </c>
      <c r="N17" s="23">
        <v>2024</v>
      </c>
      <c r="O17" s="22" t="s">
        <v>894</v>
      </c>
      <c r="P17" s="23" t="s">
        <v>902</v>
      </c>
      <c r="T17" s="1"/>
      <c r="U17" s="1"/>
      <c r="V17" s="1"/>
      <c r="W17" s="1"/>
    </row>
    <row r="18" spans="1:23" x14ac:dyDescent="0.3">
      <c r="A18" s="18" t="s">
        <v>12</v>
      </c>
      <c r="B18" s="34" t="s">
        <v>13</v>
      </c>
      <c r="C18" s="18"/>
      <c r="D18" s="18">
        <v>30000</v>
      </c>
      <c r="E18" s="21">
        <v>30000</v>
      </c>
      <c r="F18" s="36">
        <v>30000</v>
      </c>
      <c r="G18" s="41">
        <f t="shared" si="3"/>
        <v>0</v>
      </c>
      <c r="H18" s="27">
        <f t="shared" si="3"/>
        <v>0</v>
      </c>
      <c r="I18" s="18" t="s">
        <v>184</v>
      </c>
      <c r="J18" s="51"/>
      <c r="K18" s="18"/>
      <c r="L18" s="18">
        <v>65000</v>
      </c>
      <c r="M18" s="21">
        <v>62500</v>
      </c>
      <c r="N18" s="124">
        <v>62500</v>
      </c>
      <c r="O18" s="41">
        <f>(M18-L18)/L18</f>
        <v>-3.8461538461538464E-2</v>
      </c>
      <c r="P18" s="27">
        <f>(N18-M18)/M18</f>
        <v>0</v>
      </c>
      <c r="T18" s="1"/>
      <c r="U18" s="1"/>
      <c r="V18" s="1"/>
      <c r="W18" s="1"/>
    </row>
    <row r="19" spans="1:23" x14ac:dyDescent="0.3">
      <c r="A19" s="18" t="s">
        <v>14</v>
      </c>
      <c r="B19" s="34" t="s">
        <v>15</v>
      </c>
      <c r="C19" s="18"/>
      <c r="D19" s="18">
        <v>92500</v>
      </c>
      <c r="E19" s="21">
        <v>92500</v>
      </c>
      <c r="F19" s="36">
        <v>92500</v>
      </c>
      <c r="G19" s="41">
        <f t="shared" si="3"/>
        <v>0</v>
      </c>
      <c r="H19" s="27">
        <f t="shared" si="3"/>
        <v>0</v>
      </c>
      <c r="I19" s="18"/>
      <c r="J19" s="52" t="s">
        <v>7</v>
      </c>
      <c r="K19" s="24"/>
      <c r="L19" s="24">
        <f>(L18)</f>
        <v>65000</v>
      </c>
      <c r="M19" s="25">
        <f>(M18)</f>
        <v>62500</v>
      </c>
      <c r="N19" s="126">
        <v>62500</v>
      </c>
      <c r="O19" s="42">
        <f>(M19-L19)/L19</f>
        <v>-3.8461538461538464E-2</v>
      </c>
      <c r="P19" s="29">
        <f>(N19-M19)/M19</f>
        <v>0</v>
      </c>
      <c r="T19" s="11"/>
      <c r="U19" s="2"/>
    </row>
    <row r="20" spans="1:23" x14ac:dyDescent="0.3">
      <c r="A20" s="18" t="s">
        <v>16</v>
      </c>
      <c r="B20" s="34" t="s">
        <v>17</v>
      </c>
      <c r="C20" s="18"/>
      <c r="D20" s="18">
        <v>12500</v>
      </c>
      <c r="E20" s="21">
        <v>12500</v>
      </c>
      <c r="F20" s="36">
        <v>12500</v>
      </c>
      <c r="G20" s="41">
        <f t="shared" si="3"/>
        <v>0</v>
      </c>
      <c r="H20" s="27">
        <f t="shared" si="3"/>
        <v>0</v>
      </c>
      <c r="I20" s="18"/>
      <c r="Q20" s="12"/>
      <c r="R20" s="12"/>
      <c r="S20" s="4"/>
      <c r="T20" s="11"/>
      <c r="U20" s="2"/>
    </row>
    <row r="21" spans="1:23" x14ac:dyDescent="0.3">
      <c r="A21" s="18" t="s">
        <v>18</v>
      </c>
      <c r="B21" s="34" t="s">
        <v>19</v>
      </c>
      <c r="C21" s="18"/>
      <c r="D21" s="18">
        <v>1000</v>
      </c>
      <c r="E21" s="18">
        <v>100</v>
      </c>
      <c r="F21" s="35">
        <v>100</v>
      </c>
      <c r="G21" s="41">
        <f t="shared" si="3"/>
        <v>-0.9</v>
      </c>
      <c r="H21" s="27">
        <f t="shared" si="3"/>
        <v>0</v>
      </c>
      <c r="I21" s="24" t="s">
        <v>190</v>
      </c>
      <c r="J21" s="51"/>
      <c r="K21" s="18"/>
      <c r="L21" s="22" t="s">
        <v>1</v>
      </c>
      <c r="M21" s="22" t="s">
        <v>901</v>
      </c>
      <c r="N21" s="23" t="s">
        <v>2</v>
      </c>
      <c r="O21" s="22" t="s">
        <v>3</v>
      </c>
      <c r="P21" s="23" t="s">
        <v>3</v>
      </c>
    </row>
    <row r="22" spans="1:23" x14ac:dyDescent="0.3">
      <c r="A22" s="18"/>
      <c r="B22" s="24" t="s">
        <v>7</v>
      </c>
      <c r="C22" s="24"/>
      <c r="D22" s="24">
        <f>SUM(D17:D21)</f>
        <v>181000</v>
      </c>
      <c r="E22" s="25">
        <f>SUM(E17:E21)</f>
        <v>180100</v>
      </c>
      <c r="F22" s="71">
        <f>SUM(F17:F21)</f>
        <v>180100</v>
      </c>
      <c r="G22" s="42">
        <f t="shared" si="3"/>
        <v>-4.9723756906077344E-3</v>
      </c>
      <c r="H22" s="29">
        <f t="shared" si="3"/>
        <v>0</v>
      </c>
      <c r="I22" s="18"/>
      <c r="J22" s="51"/>
      <c r="K22" s="18"/>
      <c r="L22" s="22">
        <v>2022</v>
      </c>
      <c r="M22" s="22">
        <v>2023</v>
      </c>
      <c r="N22" s="23">
        <v>2024</v>
      </c>
      <c r="O22" s="22" t="s">
        <v>894</v>
      </c>
      <c r="P22" s="23" t="s">
        <v>902</v>
      </c>
    </row>
    <row r="23" spans="1:23" x14ac:dyDescent="0.3">
      <c r="I23" s="18" t="s">
        <v>184</v>
      </c>
      <c r="J23" s="56" t="s">
        <v>186</v>
      </c>
      <c r="K23" s="18"/>
      <c r="L23" s="18">
        <v>14000</v>
      </c>
      <c r="M23" s="21">
        <v>16000</v>
      </c>
      <c r="N23" s="124">
        <v>16000</v>
      </c>
      <c r="O23" s="41">
        <f>(M23-L23)/L23</f>
        <v>0.14285714285714285</v>
      </c>
      <c r="P23" s="27">
        <f>(N23-M23)/M23</f>
        <v>0</v>
      </c>
    </row>
    <row r="24" spans="1:23" x14ac:dyDescent="0.3">
      <c r="A24" s="24" t="s">
        <v>20</v>
      </c>
      <c r="B24" s="18"/>
      <c r="C24" s="18"/>
      <c r="D24" s="22" t="s">
        <v>1</v>
      </c>
      <c r="E24" s="22" t="s">
        <v>901</v>
      </c>
      <c r="F24" s="23" t="s">
        <v>2</v>
      </c>
      <c r="G24" s="22" t="s">
        <v>3</v>
      </c>
      <c r="H24" s="23" t="s">
        <v>3</v>
      </c>
      <c r="I24" s="18" t="s">
        <v>153</v>
      </c>
      <c r="J24" s="56" t="s">
        <v>191</v>
      </c>
      <c r="K24" s="18"/>
      <c r="L24" s="18">
        <v>0</v>
      </c>
      <c r="M24" s="18">
        <v>0</v>
      </c>
      <c r="N24" s="124">
        <v>0</v>
      </c>
      <c r="O24" s="41" t="e">
        <f>(M24-L24)/L24</f>
        <v>#DIV/0!</v>
      </c>
      <c r="P24" s="27" t="e">
        <f t="shared" ref="P24:P25" si="4">(N24-M24)/M24</f>
        <v>#DIV/0!</v>
      </c>
    </row>
    <row r="25" spans="1:23" x14ac:dyDescent="0.3">
      <c r="A25" s="18"/>
      <c r="B25" s="18"/>
      <c r="C25" s="18"/>
      <c r="D25" s="22">
        <v>2022</v>
      </c>
      <c r="E25" s="22">
        <v>2023</v>
      </c>
      <c r="F25" s="23">
        <v>2024</v>
      </c>
      <c r="G25" s="22" t="s">
        <v>894</v>
      </c>
      <c r="H25" s="23" t="s">
        <v>902</v>
      </c>
      <c r="I25" s="18"/>
      <c r="J25" s="52" t="s">
        <v>7</v>
      </c>
      <c r="K25" s="24"/>
      <c r="L25" s="24">
        <f>SUM(L23:L24)</f>
        <v>14000</v>
      </c>
      <c r="M25" s="25">
        <f>SUM(M23:M24)</f>
        <v>16000</v>
      </c>
      <c r="N25" s="126">
        <f>SUM(N23:N24)</f>
        <v>16000</v>
      </c>
      <c r="O25" s="42">
        <f>(M25-L25)/L25</f>
        <v>0.14285714285714285</v>
      </c>
      <c r="P25" s="29">
        <f t="shared" si="4"/>
        <v>0</v>
      </c>
    </row>
    <row r="26" spans="1:23" x14ac:dyDescent="0.3">
      <c r="A26" s="18" t="s">
        <v>21</v>
      </c>
      <c r="B26" s="34" t="s">
        <v>22</v>
      </c>
      <c r="C26" s="18"/>
      <c r="D26" s="18">
        <v>1400</v>
      </c>
      <c r="E26" s="21">
        <v>1000</v>
      </c>
      <c r="F26" s="35">
        <v>0</v>
      </c>
      <c r="G26" s="41">
        <f>(E26-D26)/D26</f>
        <v>-0.2857142857142857</v>
      </c>
      <c r="H26" s="27">
        <f>(F26-E26)/E26</f>
        <v>-1</v>
      </c>
      <c r="I26" s="18"/>
    </row>
    <row r="27" spans="1:23" x14ac:dyDescent="0.3">
      <c r="A27" s="18" t="s">
        <v>23</v>
      </c>
      <c r="B27" s="34" t="s">
        <v>24</v>
      </c>
      <c r="C27" s="18"/>
      <c r="D27" s="18">
        <v>0</v>
      </c>
      <c r="E27" s="18">
        <v>0</v>
      </c>
      <c r="F27" s="35">
        <v>0</v>
      </c>
      <c r="G27" s="41" t="e">
        <f>(E27-D27)/D27</f>
        <v>#DIV/0!</v>
      </c>
      <c r="H27" s="27" t="e">
        <f t="shared" ref="H27:H29" si="5">(F27-E27)/E27</f>
        <v>#DIV/0!</v>
      </c>
      <c r="I27" s="24" t="s">
        <v>892</v>
      </c>
      <c r="J27" s="18"/>
      <c r="K27" s="18"/>
      <c r="L27" s="22" t="s">
        <v>1</v>
      </c>
      <c r="M27" s="22" t="s">
        <v>901</v>
      </c>
      <c r="N27" s="23" t="s">
        <v>2</v>
      </c>
      <c r="O27" s="22" t="s">
        <v>3</v>
      </c>
      <c r="P27" s="23" t="s">
        <v>3</v>
      </c>
    </row>
    <row r="28" spans="1:23" x14ac:dyDescent="0.3">
      <c r="A28" s="18" t="s">
        <v>25</v>
      </c>
      <c r="B28" s="34" t="s">
        <v>26</v>
      </c>
      <c r="C28" s="18"/>
      <c r="D28" s="18">
        <v>300</v>
      </c>
      <c r="E28" s="18">
        <v>200</v>
      </c>
      <c r="F28" s="35">
        <v>0</v>
      </c>
      <c r="G28" s="41">
        <f>(E28-D28)/D28</f>
        <v>-0.33333333333333331</v>
      </c>
      <c r="H28" s="27">
        <f t="shared" si="5"/>
        <v>-1</v>
      </c>
      <c r="I28" s="18"/>
      <c r="J28" s="18"/>
      <c r="K28" s="18"/>
      <c r="L28" s="22">
        <v>2022</v>
      </c>
      <c r="M28" s="22">
        <v>2023</v>
      </c>
      <c r="N28" s="23">
        <v>2024</v>
      </c>
      <c r="O28" s="22" t="s">
        <v>894</v>
      </c>
      <c r="P28" s="23" t="s">
        <v>902</v>
      </c>
    </row>
    <row r="29" spans="1:23" x14ac:dyDescent="0.3">
      <c r="A29" s="18"/>
      <c r="B29" s="24" t="s">
        <v>7</v>
      </c>
      <c r="C29" s="24"/>
      <c r="D29" s="24">
        <f>SUM(D26:D28)</f>
        <v>1700</v>
      </c>
      <c r="E29" s="25">
        <f>SUM(E26:E28)</f>
        <v>1200</v>
      </c>
      <c r="F29" s="72">
        <v>0</v>
      </c>
      <c r="G29" s="42">
        <f>(E29-D29)/D29</f>
        <v>-0.29411764705882354</v>
      </c>
      <c r="H29" s="29">
        <f t="shared" si="5"/>
        <v>-1</v>
      </c>
      <c r="I29" s="18" t="s">
        <v>184</v>
      </c>
      <c r="J29" s="34" t="s">
        <v>186</v>
      </c>
      <c r="K29" s="18"/>
      <c r="L29" s="18">
        <v>15000</v>
      </c>
      <c r="M29" s="21">
        <v>15000</v>
      </c>
      <c r="N29" s="124">
        <v>15000</v>
      </c>
      <c r="O29" s="41">
        <f>(M29-L29)/L29</f>
        <v>0</v>
      </c>
      <c r="P29" s="27">
        <f>(N29-M29)/M29</f>
        <v>0</v>
      </c>
    </row>
    <row r="30" spans="1:23" x14ac:dyDescent="0.3">
      <c r="I30" s="18"/>
      <c r="J30" s="24" t="s">
        <v>7</v>
      </c>
      <c r="K30" s="18"/>
      <c r="L30" s="24">
        <f>(L29)</f>
        <v>15000</v>
      </c>
      <c r="M30" s="25">
        <f>(M29)</f>
        <v>15000</v>
      </c>
      <c r="N30" s="126">
        <v>15000</v>
      </c>
      <c r="O30" s="42">
        <f>(M30-L30)/L30</f>
        <v>0</v>
      </c>
      <c r="P30" s="29">
        <f>(N30-M30)/M30</f>
        <v>0</v>
      </c>
    </row>
    <row r="31" spans="1:23" x14ac:dyDescent="0.3">
      <c r="A31" s="24" t="s">
        <v>27</v>
      </c>
      <c r="B31" s="18"/>
      <c r="C31" s="18"/>
      <c r="D31" s="22" t="s">
        <v>1</v>
      </c>
      <c r="E31" s="22" t="s">
        <v>901</v>
      </c>
      <c r="F31" s="23" t="s">
        <v>2</v>
      </c>
      <c r="G31" s="22" t="s">
        <v>3</v>
      </c>
      <c r="H31" s="23" t="s">
        <v>3</v>
      </c>
    </row>
    <row r="32" spans="1:23" ht="15.75" customHeight="1" x14ac:dyDescent="0.3">
      <c r="A32" s="18"/>
      <c r="B32" s="18"/>
      <c r="C32" s="18"/>
      <c r="D32" s="22">
        <v>2022</v>
      </c>
      <c r="E32" s="22">
        <v>2023</v>
      </c>
      <c r="F32" s="23">
        <v>2024</v>
      </c>
      <c r="G32" s="22" t="s">
        <v>894</v>
      </c>
      <c r="H32" s="23" t="s">
        <v>902</v>
      </c>
    </row>
    <row r="33" spans="1:18" x14ac:dyDescent="0.3">
      <c r="A33" s="18" t="s">
        <v>28</v>
      </c>
      <c r="B33" s="34" t="s">
        <v>38</v>
      </c>
      <c r="C33" s="18"/>
      <c r="D33" s="123">
        <v>534345</v>
      </c>
      <c r="E33" s="123">
        <v>535523.55000000005</v>
      </c>
      <c r="F33" s="124">
        <v>638164.52</v>
      </c>
      <c r="G33" s="41">
        <f t="shared" ref="G33:H43" si="6">(E33-D33)/D33</f>
        <v>2.2055975072285631E-3</v>
      </c>
      <c r="H33" s="27">
        <f t="shared" si="6"/>
        <v>0.1916647176394016</v>
      </c>
    </row>
    <row r="34" spans="1:18" x14ac:dyDescent="0.3">
      <c r="A34" s="18" t="s">
        <v>29</v>
      </c>
      <c r="B34" s="34" t="s">
        <v>39</v>
      </c>
      <c r="C34" s="18"/>
      <c r="D34" s="123">
        <v>52103</v>
      </c>
      <c r="E34" s="123">
        <v>63025.86</v>
      </c>
      <c r="F34" s="124">
        <v>61457</v>
      </c>
      <c r="G34" s="41">
        <f t="shared" si="6"/>
        <v>0.20963975202963361</v>
      </c>
      <c r="H34" s="27">
        <f t="shared" si="6"/>
        <v>-2.4892321977042449E-2</v>
      </c>
    </row>
    <row r="35" spans="1:18" x14ac:dyDescent="0.3">
      <c r="A35" s="18" t="s">
        <v>30</v>
      </c>
      <c r="B35" s="34" t="s">
        <v>40</v>
      </c>
      <c r="C35" s="18"/>
      <c r="D35" s="123">
        <v>7989</v>
      </c>
      <c r="E35" s="123">
        <v>7500</v>
      </c>
      <c r="F35" s="124">
        <v>14815.95</v>
      </c>
      <c r="G35" s="41">
        <f t="shared" si="6"/>
        <v>-6.1209162598573036E-2</v>
      </c>
      <c r="H35" s="27">
        <f t="shared" si="6"/>
        <v>0.9754600000000001</v>
      </c>
    </row>
    <row r="36" spans="1:18" x14ac:dyDescent="0.3">
      <c r="A36" s="18" t="s">
        <v>31</v>
      </c>
      <c r="B36" s="34" t="s">
        <v>41</v>
      </c>
      <c r="C36" s="18"/>
      <c r="D36" s="123">
        <v>0</v>
      </c>
      <c r="E36" s="123">
        <v>0</v>
      </c>
      <c r="F36" s="124">
        <v>0</v>
      </c>
      <c r="G36" s="41" t="e">
        <f t="shared" si="6"/>
        <v>#DIV/0!</v>
      </c>
      <c r="H36" s="27" t="e">
        <f t="shared" si="6"/>
        <v>#DIV/0!</v>
      </c>
    </row>
    <row r="37" spans="1:18" x14ac:dyDescent="0.3">
      <c r="A37" s="33" t="s">
        <v>32</v>
      </c>
      <c r="B37" s="37" t="s">
        <v>42</v>
      </c>
      <c r="C37" s="18"/>
      <c r="D37" s="123">
        <v>11000</v>
      </c>
      <c r="E37" s="123">
        <v>12000</v>
      </c>
      <c r="F37" s="124">
        <v>12000</v>
      </c>
      <c r="G37" s="41">
        <f t="shared" si="6"/>
        <v>9.0909090909090912E-2</v>
      </c>
      <c r="H37" s="27">
        <f t="shared" si="6"/>
        <v>0</v>
      </c>
    </row>
    <row r="38" spans="1:18" x14ac:dyDescent="0.3">
      <c r="A38" s="33" t="s">
        <v>33</v>
      </c>
      <c r="B38" s="37" t="s">
        <v>43</v>
      </c>
      <c r="C38" s="18"/>
      <c r="D38" s="123">
        <v>0</v>
      </c>
      <c r="E38" s="123">
        <v>0</v>
      </c>
      <c r="F38" s="124">
        <v>0</v>
      </c>
      <c r="G38" s="41" t="e">
        <f t="shared" si="6"/>
        <v>#DIV/0!</v>
      </c>
      <c r="H38" s="27" t="e">
        <f t="shared" si="6"/>
        <v>#DIV/0!</v>
      </c>
    </row>
    <row r="39" spans="1:18" x14ac:dyDescent="0.3">
      <c r="A39" s="18" t="s">
        <v>34</v>
      </c>
      <c r="B39" s="34" t="s">
        <v>44</v>
      </c>
      <c r="C39" s="18"/>
      <c r="D39" s="123">
        <v>26000</v>
      </c>
      <c r="E39" s="123">
        <v>26000</v>
      </c>
      <c r="F39" s="124">
        <v>26000</v>
      </c>
      <c r="G39" s="41">
        <f t="shared" si="6"/>
        <v>0</v>
      </c>
      <c r="H39" s="27">
        <f t="shared" si="6"/>
        <v>0</v>
      </c>
    </row>
    <row r="40" spans="1:18" x14ac:dyDescent="0.3">
      <c r="A40" s="18" t="s">
        <v>35</v>
      </c>
      <c r="B40" s="34" t="s">
        <v>45</v>
      </c>
      <c r="C40" s="18"/>
      <c r="D40" s="123">
        <v>205064.29</v>
      </c>
      <c r="E40" s="123">
        <v>205000</v>
      </c>
      <c r="F40" s="124">
        <v>205000</v>
      </c>
      <c r="G40" s="41">
        <f t="shared" si="6"/>
        <v>-3.1351143585266916E-4</v>
      </c>
      <c r="H40" s="27">
        <f t="shared" si="6"/>
        <v>0</v>
      </c>
    </row>
    <row r="41" spans="1:18" x14ac:dyDescent="0.3">
      <c r="A41" s="18" t="s">
        <v>36</v>
      </c>
      <c r="B41" s="34" t="s">
        <v>46</v>
      </c>
      <c r="C41" s="18"/>
      <c r="D41" s="123">
        <v>1500</v>
      </c>
      <c r="E41" s="123">
        <v>1500</v>
      </c>
      <c r="F41" s="124">
        <v>0</v>
      </c>
      <c r="G41" s="41">
        <f t="shared" si="6"/>
        <v>0</v>
      </c>
      <c r="H41" s="27">
        <f t="shared" si="6"/>
        <v>-1</v>
      </c>
    </row>
    <row r="42" spans="1:18" x14ac:dyDescent="0.3">
      <c r="A42" s="18" t="s">
        <v>37</v>
      </c>
      <c r="B42" s="34" t="s">
        <v>47</v>
      </c>
      <c r="C42" s="18"/>
      <c r="D42" s="123">
        <v>0</v>
      </c>
      <c r="E42" s="123">
        <v>0</v>
      </c>
      <c r="F42" s="124">
        <v>0</v>
      </c>
      <c r="G42" s="41" t="e">
        <f t="shared" si="6"/>
        <v>#DIV/0!</v>
      </c>
      <c r="H42" s="27" t="e">
        <f t="shared" si="6"/>
        <v>#DIV/0!</v>
      </c>
    </row>
    <row r="43" spans="1:18" x14ac:dyDescent="0.3">
      <c r="A43" s="18"/>
      <c r="B43" s="24" t="s">
        <v>7</v>
      </c>
      <c r="C43" s="24"/>
      <c r="D43" s="125">
        <f>SUM(D33:D42)</f>
        <v>838001.29</v>
      </c>
      <c r="E43" s="125">
        <f>SUM(E33:E42)</f>
        <v>850549.41</v>
      </c>
      <c r="F43" s="126">
        <f>SUM(F33:F42)</f>
        <v>957437.47</v>
      </c>
      <c r="G43" s="42">
        <f t="shared" si="6"/>
        <v>1.4973867164333356E-2</v>
      </c>
      <c r="H43" s="29">
        <f t="shared" si="6"/>
        <v>0.12566943053902058</v>
      </c>
    </row>
    <row r="44" spans="1:18" x14ac:dyDescent="0.3">
      <c r="E44" s="6" t="s">
        <v>863</v>
      </c>
      <c r="M44" s="6" t="s">
        <v>867</v>
      </c>
    </row>
    <row r="45" spans="1:18" x14ac:dyDescent="0.3">
      <c r="D45" s="43"/>
      <c r="L45" s="6"/>
    </row>
    <row r="46" spans="1:18" x14ac:dyDescent="0.3">
      <c r="Q46" s="4"/>
      <c r="R46" s="4"/>
    </row>
    <row r="47" spans="1:18" x14ac:dyDescent="0.3">
      <c r="A47" s="24" t="s">
        <v>48</v>
      </c>
      <c r="B47" s="18"/>
      <c r="C47" s="18"/>
      <c r="D47" s="18"/>
      <c r="E47" s="18"/>
      <c r="F47" s="18"/>
      <c r="G47" s="18"/>
      <c r="H47" s="18"/>
      <c r="I47" s="24" t="s">
        <v>192</v>
      </c>
      <c r="J47" s="18"/>
      <c r="K47" s="18"/>
      <c r="L47" s="18"/>
      <c r="M47" s="18"/>
      <c r="N47" s="18"/>
      <c r="O47" s="18"/>
      <c r="P47" s="18"/>
      <c r="Q47" s="1"/>
    </row>
    <row r="48" spans="1:18" x14ac:dyDescent="0.3">
      <c r="A48" s="18"/>
      <c r="B48" s="18"/>
      <c r="C48" s="18"/>
      <c r="D48" s="50" t="s">
        <v>1</v>
      </c>
      <c r="E48" s="22" t="s">
        <v>901</v>
      </c>
      <c r="F48" s="23" t="s">
        <v>2</v>
      </c>
      <c r="G48" s="22" t="s">
        <v>3</v>
      </c>
      <c r="H48" s="23" t="s">
        <v>3</v>
      </c>
      <c r="I48" s="18"/>
      <c r="J48" s="18"/>
      <c r="K48" s="18"/>
      <c r="L48" s="22" t="s">
        <v>1</v>
      </c>
      <c r="M48" s="22" t="s">
        <v>901</v>
      </c>
      <c r="N48" s="23" t="s">
        <v>2</v>
      </c>
      <c r="O48" s="22" t="s">
        <v>3</v>
      </c>
      <c r="P48" s="23" t="s">
        <v>3</v>
      </c>
      <c r="Q48" s="1"/>
    </row>
    <row r="49" spans="1:20" x14ac:dyDescent="0.3">
      <c r="A49" s="18"/>
      <c r="B49" s="18"/>
      <c r="C49" s="18"/>
      <c r="D49" s="50">
        <v>2022</v>
      </c>
      <c r="E49" s="22">
        <v>2023</v>
      </c>
      <c r="F49" s="23">
        <v>2024</v>
      </c>
      <c r="G49" s="22" t="s">
        <v>894</v>
      </c>
      <c r="H49" s="23" t="s">
        <v>902</v>
      </c>
      <c r="I49" s="18"/>
      <c r="J49" s="18"/>
      <c r="K49" s="18"/>
      <c r="L49" s="22">
        <v>2022</v>
      </c>
      <c r="M49" s="22">
        <v>2023</v>
      </c>
      <c r="N49" s="23">
        <v>2024</v>
      </c>
      <c r="O49" s="22" t="s">
        <v>894</v>
      </c>
      <c r="P49" s="23" t="s">
        <v>902</v>
      </c>
      <c r="Q49" s="2"/>
    </row>
    <row r="50" spans="1:20" x14ac:dyDescent="0.3">
      <c r="A50" s="33" t="s">
        <v>49</v>
      </c>
      <c r="B50" s="37" t="s">
        <v>64</v>
      </c>
      <c r="C50" s="18"/>
      <c r="D50" s="39">
        <v>9100</v>
      </c>
      <c r="E50" s="21">
        <v>9100</v>
      </c>
      <c r="F50" s="124">
        <v>9100</v>
      </c>
      <c r="G50" s="41">
        <f>(E50-D50)/D50</f>
        <v>0</v>
      </c>
      <c r="H50" s="27">
        <f>(F50-E50)/E50</f>
        <v>0</v>
      </c>
      <c r="I50" s="33" t="s">
        <v>193</v>
      </c>
      <c r="J50" s="34" t="s">
        <v>199</v>
      </c>
      <c r="K50" s="18"/>
      <c r="L50" s="18">
        <v>0</v>
      </c>
      <c r="M50" s="18">
        <v>0</v>
      </c>
      <c r="N50" s="35">
        <v>0</v>
      </c>
      <c r="O50" s="41" t="e">
        <f>(M50-L50)/L50</f>
        <v>#DIV/0!</v>
      </c>
      <c r="P50" s="27" t="e">
        <f>(N50-M50)/M50</f>
        <v>#DIV/0!</v>
      </c>
      <c r="Q50" s="2"/>
    </row>
    <row r="51" spans="1:20" x14ac:dyDescent="0.3">
      <c r="A51" s="33" t="s">
        <v>50</v>
      </c>
      <c r="B51" s="37" t="s">
        <v>65</v>
      </c>
      <c r="C51" s="18"/>
      <c r="D51" s="39">
        <v>2800</v>
      </c>
      <c r="E51" s="21">
        <v>2800</v>
      </c>
      <c r="F51" s="124">
        <v>2800</v>
      </c>
      <c r="G51" s="41">
        <f t="shared" ref="G51:G65" si="7">(E51-D51)/D51</f>
        <v>0</v>
      </c>
      <c r="H51" s="27">
        <f t="shared" ref="H51:H65" si="8">(F51-E51)/E51</f>
        <v>0</v>
      </c>
      <c r="I51" s="33" t="s">
        <v>194</v>
      </c>
      <c r="J51" s="34" t="s">
        <v>200</v>
      </c>
      <c r="K51" s="18"/>
      <c r="L51" s="18">
        <v>0</v>
      </c>
      <c r="M51" s="18">
        <v>0</v>
      </c>
      <c r="N51" s="35">
        <v>0</v>
      </c>
      <c r="O51" s="41" t="e">
        <f t="shared" ref="O51:O57" si="9">(M51-L51)/L51</f>
        <v>#DIV/0!</v>
      </c>
      <c r="P51" s="27" t="e">
        <f t="shared" ref="P51:P57" si="10">(N51-M51)/M51</f>
        <v>#DIV/0!</v>
      </c>
      <c r="Q51" s="2"/>
    </row>
    <row r="52" spans="1:20" x14ac:dyDescent="0.3">
      <c r="A52" s="18" t="s">
        <v>51</v>
      </c>
      <c r="B52" s="37" t="s">
        <v>66</v>
      </c>
      <c r="C52" s="18"/>
      <c r="D52" s="39">
        <v>450</v>
      </c>
      <c r="E52" s="18">
        <v>450</v>
      </c>
      <c r="F52" s="124">
        <v>450</v>
      </c>
      <c r="G52" s="41">
        <f t="shared" si="7"/>
        <v>0</v>
      </c>
      <c r="H52" s="27">
        <f t="shared" si="8"/>
        <v>0</v>
      </c>
      <c r="I52" s="33" t="s">
        <v>149</v>
      </c>
      <c r="J52" s="34" t="s">
        <v>165</v>
      </c>
      <c r="K52" s="18"/>
      <c r="L52" s="18">
        <v>0</v>
      </c>
      <c r="M52" s="18">
        <v>0</v>
      </c>
      <c r="N52" s="35">
        <v>0</v>
      </c>
      <c r="O52" s="41" t="e">
        <f t="shared" si="9"/>
        <v>#DIV/0!</v>
      </c>
      <c r="P52" s="27" t="e">
        <f t="shared" si="10"/>
        <v>#DIV/0!</v>
      </c>
      <c r="Q52" s="2"/>
    </row>
    <row r="53" spans="1:20" x14ac:dyDescent="0.3">
      <c r="A53" s="18" t="s">
        <v>52</v>
      </c>
      <c r="B53" s="37" t="s">
        <v>67</v>
      </c>
      <c r="C53" s="18"/>
      <c r="D53" s="39">
        <v>1550</v>
      </c>
      <c r="E53" s="21">
        <v>1500</v>
      </c>
      <c r="F53" s="124">
        <v>1500</v>
      </c>
      <c r="G53" s="41">
        <f t="shared" si="7"/>
        <v>-3.2258064516129031E-2</v>
      </c>
      <c r="H53" s="27">
        <f t="shared" si="8"/>
        <v>0</v>
      </c>
      <c r="I53" s="33" t="s">
        <v>195</v>
      </c>
      <c r="J53" s="34" t="s">
        <v>201</v>
      </c>
      <c r="K53" s="18"/>
      <c r="L53" s="18">
        <v>0</v>
      </c>
      <c r="M53" s="18">
        <v>0</v>
      </c>
      <c r="N53" s="35">
        <v>0</v>
      </c>
      <c r="O53" s="41" t="e">
        <f t="shared" si="9"/>
        <v>#DIV/0!</v>
      </c>
      <c r="P53" s="27" t="e">
        <f t="shared" si="10"/>
        <v>#DIV/0!</v>
      </c>
      <c r="Q53" s="2"/>
    </row>
    <row r="54" spans="1:20" x14ac:dyDescent="0.3">
      <c r="A54" s="18" t="s">
        <v>53</v>
      </c>
      <c r="B54" s="37" t="s">
        <v>68</v>
      </c>
      <c r="C54" s="18"/>
      <c r="D54" s="39">
        <v>10</v>
      </c>
      <c r="E54" s="18">
        <v>0</v>
      </c>
      <c r="F54" s="124">
        <v>0</v>
      </c>
      <c r="G54" s="41">
        <f t="shared" si="7"/>
        <v>-1</v>
      </c>
      <c r="H54" s="27" t="e">
        <f t="shared" si="8"/>
        <v>#DIV/0!</v>
      </c>
      <c r="I54" s="33" t="s">
        <v>196</v>
      </c>
      <c r="J54" s="34" t="s">
        <v>202</v>
      </c>
      <c r="K54" s="18"/>
      <c r="L54" s="18">
        <v>0</v>
      </c>
      <c r="M54" s="18">
        <v>0</v>
      </c>
      <c r="N54" s="35">
        <v>0</v>
      </c>
      <c r="O54" s="41" t="e">
        <f t="shared" si="9"/>
        <v>#DIV/0!</v>
      </c>
      <c r="P54" s="27" t="e">
        <f t="shared" si="10"/>
        <v>#DIV/0!</v>
      </c>
      <c r="Q54" s="2"/>
    </row>
    <row r="55" spans="1:20" x14ac:dyDescent="0.3">
      <c r="A55" s="18" t="s">
        <v>54</v>
      </c>
      <c r="B55" s="37" t="s">
        <v>69</v>
      </c>
      <c r="C55" s="18"/>
      <c r="D55" s="39">
        <v>12500</v>
      </c>
      <c r="E55" s="21">
        <v>12500</v>
      </c>
      <c r="F55" s="124">
        <v>12500</v>
      </c>
      <c r="G55" s="41">
        <f t="shared" si="7"/>
        <v>0</v>
      </c>
      <c r="H55" s="27">
        <f t="shared" si="8"/>
        <v>0</v>
      </c>
      <c r="I55" s="33" t="s">
        <v>197</v>
      </c>
      <c r="J55" s="34" t="s">
        <v>203</v>
      </c>
      <c r="K55" s="18"/>
      <c r="L55" s="18">
        <v>0</v>
      </c>
      <c r="M55" s="18">
        <v>0</v>
      </c>
      <c r="N55" s="35">
        <v>0</v>
      </c>
      <c r="O55" s="41" t="e">
        <f t="shared" si="9"/>
        <v>#DIV/0!</v>
      </c>
      <c r="P55" s="27" t="e">
        <f t="shared" si="10"/>
        <v>#DIV/0!</v>
      </c>
      <c r="Q55" s="2"/>
    </row>
    <row r="56" spans="1:20" x14ac:dyDescent="0.3">
      <c r="A56" s="18" t="s">
        <v>55</v>
      </c>
      <c r="B56" s="37" t="s">
        <v>70</v>
      </c>
      <c r="C56" s="18"/>
      <c r="D56" s="39">
        <v>400</v>
      </c>
      <c r="E56" s="18">
        <v>500</v>
      </c>
      <c r="F56" s="124">
        <v>500</v>
      </c>
      <c r="G56" s="41">
        <f t="shared" si="7"/>
        <v>0.25</v>
      </c>
      <c r="H56" s="27">
        <f t="shared" si="8"/>
        <v>0</v>
      </c>
      <c r="I56" s="33" t="s">
        <v>198</v>
      </c>
      <c r="J56" s="37" t="s">
        <v>204</v>
      </c>
      <c r="K56" s="18"/>
      <c r="L56" s="18">
        <v>0</v>
      </c>
      <c r="M56" s="18">
        <v>0</v>
      </c>
      <c r="N56" s="35">
        <v>0</v>
      </c>
      <c r="O56" s="41" t="e">
        <f t="shared" si="9"/>
        <v>#DIV/0!</v>
      </c>
      <c r="P56" s="27" t="e">
        <f t="shared" si="10"/>
        <v>#DIV/0!</v>
      </c>
      <c r="Q56" s="2"/>
    </row>
    <row r="57" spans="1:20" x14ac:dyDescent="0.3">
      <c r="A57" s="18" t="s">
        <v>56</v>
      </c>
      <c r="B57" s="37" t="s">
        <v>71</v>
      </c>
      <c r="C57" s="18"/>
      <c r="D57" s="39">
        <v>13000</v>
      </c>
      <c r="E57" s="21">
        <v>14000</v>
      </c>
      <c r="F57" s="124">
        <v>14000</v>
      </c>
      <c r="G57" s="41">
        <f t="shared" si="7"/>
        <v>7.6923076923076927E-2</v>
      </c>
      <c r="H57" s="27">
        <f t="shared" si="8"/>
        <v>0</v>
      </c>
      <c r="I57" s="18"/>
      <c r="J57" s="38" t="s">
        <v>7</v>
      </c>
      <c r="K57" s="24"/>
      <c r="L57" s="24">
        <f>SUM(L50:L56)</f>
        <v>0</v>
      </c>
      <c r="M57" s="24">
        <f>SUM(M50:M56)</f>
        <v>0</v>
      </c>
      <c r="N57" s="35">
        <v>0</v>
      </c>
      <c r="O57" s="41" t="e">
        <f t="shared" si="9"/>
        <v>#DIV/0!</v>
      </c>
      <c r="P57" s="27" t="e">
        <f t="shared" si="10"/>
        <v>#DIV/0!</v>
      </c>
      <c r="Q57" s="2"/>
    </row>
    <row r="58" spans="1:20" x14ac:dyDescent="0.3">
      <c r="A58" s="18" t="s">
        <v>57</v>
      </c>
      <c r="B58" s="37" t="s">
        <v>72</v>
      </c>
      <c r="C58" s="18"/>
      <c r="D58" s="39">
        <v>10000</v>
      </c>
      <c r="E58" s="21">
        <v>9000</v>
      </c>
      <c r="F58" s="124">
        <v>9000</v>
      </c>
      <c r="G58" s="41">
        <f t="shared" si="7"/>
        <v>-0.1</v>
      </c>
      <c r="H58" s="27">
        <f t="shared" si="8"/>
        <v>0</v>
      </c>
      <c r="Q58" s="2"/>
    </row>
    <row r="59" spans="1:20" x14ac:dyDescent="0.3">
      <c r="A59" s="18" t="s">
        <v>58</v>
      </c>
      <c r="B59" s="37" t="s">
        <v>73</v>
      </c>
      <c r="C59" s="18"/>
      <c r="D59" s="39">
        <v>5500</v>
      </c>
      <c r="E59" s="21">
        <v>5000</v>
      </c>
      <c r="F59" s="124">
        <v>5000</v>
      </c>
      <c r="G59" s="41">
        <f t="shared" si="7"/>
        <v>-9.0909090909090912E-2</v>
      </c>
      <c r="H59" s="27">
        <f t="shared" si="8"/>
        <v>0</v>
      </c>
      <c r="Q59" s="3"/>
    </row>
    <row r="60" spans="1:20" x14ac:dyDescent="0.3">
      <c r="A60" s="18" t="s">
        <v>59</v>
      </c>
      <c r="B60" s="37" t="s">
        <v>74</v>
      </c>
      <c r="C60" s="18"/>
      <c r="D60" s="39">
        <v>250</v>
      </c>
      <c r="E60" s="18">
        <v>300</v>
      </c>
      <c r="F60" s="124">
        <v>300</v>
      </c>
      <c r="G60" s="41">
        <f t="shared" si="7"/>
        <v>0.2</v>
      </c>
      <c r="H60" s="27">
        <f t="shared" si="8"/>
        <v>0</v>
      </c>
      <c r="I60" s="24" t="s">
        <v>205</v>
      </c>
      <c r="J60" s="18"/>
      <c r="K60" s="18"/>
      <c r="L60" s="22" t="s">
        <v>1</v>
      </c>
      <c r="M60" s="22" t="s">
        <v>901</v>
      </c>
      <c r="N60" s="23" t="s">
        <v>2</v>
      </c>
      <c r="O60" s="22" t="s">
        <v>3</v>
      </c>
      <c r="P60" s="23" t="s">
        <v>3</v>
      </c>
      <c r="Q60" s="4"/>
      <c r="R60" s="4"/>
      <c r="S60" s="4"/>
      <c r="T60" s="4"/>
    </row>
    <row r="61" spans="1:20" x14ac:dyDescent="0.3">
      <c r="A61" s="18" t="s">
        <v>60</v>
      </c>
      <c r="B61" s="37" t="s">
        <v>75</v>
      </c>
      <c r="C61" s="18"/>
      <c r="D61" s="39">
        <v>500</v>
      </c>
      <c r="E61" s="18">
        <v>500</v>
      </c>
      <c r="F61" s="124">
        <v>500</v>
      </c>
      <c r="G61" s="41">
        <f t="shared" si="7"/>
        <v>0</v>
      </c>
      <c r="H61" s="27">
        <f t="shared" si="8"/>
        <v>0</v>
      </c>
      <c r="I61" s="18"/>
      <c r="J61" s="18"/>
      <c r="K61" s="18"/>
      <c r="L61" s="22">
        <v>2022</v>
      </c>
      <c r="M61" s="22">
        <v>2023</v>
      </c>
      <c r="N61" s="23">
        <v>2024</v>
      </c>
      <c r="O61" s="22" t="s">
        <v>894</v>
      </c>
      <c r="P61" s="23" t="s">
        <v>902</v>
      </c>
    </row>
    <row r="62" spans="1:20" x14ac:dyDescent="0.3">
      <c r="A62" s="18" t="s">
        <v>61</v>
      </c>
      <c r="B62" s="37" t="s">
        <v>76</v>
      </c>
      <c r="C62" s="18"/>
      <c r="D62" s="39">
        <v>7000</v>
      </c>
      <c r="E62" s="21">
        <v>7000</v>
      </c>
      <c r="F62" s="124">
        <v>12000</v>
      </c>
      <c r="G62" s="41">
        <f t="shared" si="7"/>
        <v>0</v>
      </c>
      <c r="H62" s="27">
        <f t="shared" si="8"/>
        <v>0.7142857142857143</v>
      </c>
      <c r="I62" s="33" t="s">
        <v>206</v>
      </c>
      <c r="J62" s="37" t="s">
        <v>216</v>
      </c>
      <c r="K62" s="18"/>
      <c r="L62" s="123">
        <v>140000</v>
      </c>
      <c r="M62" s="123">
        <v>140000</v>
      </c>
      <c r="N62" s="124">
        <v>140000</v>
      </c>
      <c r="O62" s="41">
        <f>(M62-L62)/L62</f>
        <v>0</v>
      </c>
      <c r="P62" s="27">
        <f>(N62-M62)/M62</f>
        <v>0</v>
      </c>
    </row>
    <row r="63" spans="1:20" x14ac:dyDescent="0.3">
      <c r="A63" s="18" t="s">
        <v>62</v>
      </c>
      <c r="B63" s="37" t="s">
        <v>77</v>
      </c>
      <c r="C63" s="18"/>
      <c r="D63" s="39">
        <v>0</v>
      </c>
      <c r="E63" s="18">
        <v>0</v>
      </c>
      <c r="F63" s="124">
        <v>0</v>
      </c>
      <c r="G63" s="41" t="e">
        <f t="shared" si="7"/>
        <v>#DIV/0!</v>
      </c>
      <c r="H63" s="27" t="e">
        <f t="shared" si="8"/>
        <v>#DIV/0!</v>
      </c>
      <c r="I63" s="33" t="s">
        <v>207</v>
      </c>
      <c r="J63" s="37" t="s">
        <v>217</v>
      </c>
      <c r="K63" s="18"/>
      <c r="L63" s="123">
        <v>55000</v>
      </c>
      <c r="M63" s="123">
        <v>55000</v>
      </c>
      <c r="N63" s="124">
        <v>55000</v>
      </c>
      <c r="O63" s="41">
        <f t="shared" ref="O63:O72" si="11">(M63-L63)/L63</f>
        <v>0</v>
      </c>
      <c r="P63" s="27">
        <f t="shared" ref="P63:P72" si="12">(N63-M63)/M63</f>
        <v>0</v>
      </c>
    </row>
    <row r="64" spans="1:20" x14ac:dyDescent="0.3">
      <c r="A64" s="18" t="s">
        <v>63</v>
      </c>
      <c r="B64" s="37" t="s">
        <v>78</v>
      </c>
      <c r="C64" s="18"/>
      <c r="D64" s="39">
        <v>0</v>
      </c>
      <c r="E64" s="18">
        <v>0</v>
      </c>
      <c r="F64" s="124">
        <v>0</v>
      </c>
      <c r="G64" s="41" t="e">
        <f t="shared" si="7"/>
        <v>#DIV/0!</v>
      </c>
      <c r="H64" s="27" t="e">
        <f t="shared" si="8"/>
        <v>#DIV/0!</v>
      </c>
      <c r="I64" s="33" t="s">
        <v>208</v>
      </c>
      <c r="J64" s="37" t="s">
        <v>218</v>
      </c>
      <c r="K64" s="18"/>
      <c r="L64" s="123">
        <v>8600</v>
      </c>
      <c r="M64" s="123">
        <v>8600</v>
      </c>
      <c r="N64" s="124">
        <v>8600</v>
      </c>
      <c r="O64" s="41">
        <f t="shared" si="11"/>
        <v>0</v>
      </c>
      <c r="P64" s="27">
        <f t="shared" si="12"/>
        <v>0</v>
      </c>
    </row>
    <row r="65" spans="1:16" x14ac:dyDescent="0.3">
      <c r="A65" s="18"/>
      <c r="B65" s="38" t="s">
        <v>7</v>
      </c>
      <c r="C65" s="24"/>
      <c r="D65" s="54">
        <f>SUM(D50:D64)</f>
        <v>63060</v>
      </c>
      <c r="E65" s="25">
        <f>SUM(E50:E64)</f>
        <v>62650</v>
      </c>
      <c r="F65" s="126">
        <f>SUM(F50:F64)</f>
        <v>67650</v>
      </c>
      <c r="G65" s="42">
        <f t="shared" si="7"/>
        <v>-6.5017443704408501E-3</v>
      </c>
      <c r="H65" s="29">
        <f t="shared" si="8"/>
        <v>7.9808459696727854E-2</v>
      </c>
      <c r="I65" s="33" t="s">
        <v>209</v>
      </c>
      <c r="J65" s="37" t="s">
        <v>219</v>
      </c>
      <c r="K65" s="18"/>
      <c r="L65" s="123">
        <v>149000</v>
      </c>
      <c r="M65" s="123">
        <v>149000</v>
      </c>
      <c r="N65" s="124">
        <v>149000</v>
      </c>
      <c r="O65" s="41">
        <f t="shared" si="11"/>
        <v>0</v>
      </c>
      <c r="P65" s="27">
        <f t="shared" si="12"/>
        <v>0</v>
      </c>
    </row>
    <row r="66" spans="1:16" x14ac:dyDescent="0.3">
      <c r="E66" s="18"/>
      <c r="F66" s="18"/>
      <c r="G66" s="18"/>
      <c r="H66" s="18"/>
      <c r="I66" s="33" t="s">
        <v>210</v>
      </c>
      <c r="J66" s="37" t="s">
        <v>220</v>
      </c>
      <c r="K66" s="18"/>
      <c r="L66" s="123">
        <v>22000</v>
      </c>
      <c r="M66" s="123">
        <v>22000</v>
      </c>
      <c r="N66" s="124">
        <v>22000</v>
      </c>
      <c r="O66" s="41">
        <f t="shared" si="11"/>
        <v>0</v>
      </c>
      <c r="P66" s="27">
        <f t="shared" si="12"/>
        <v>0</v>
      </c>
    </row>
    <row r="67" spans="1:16" x14ac:dyDescent="0.3">
      <c r="A67" s="24" t="s">
        <v>79</v>
      </c>
      <c r="B67" s="18"/>
      <c r="C67" s="18"/>
      <c r="D67" s="39"/>
      <c r="E67" s="18"/>
      <c r="F67" s="18"/>
      <c r="G67" s="18"/>
      <c r="H67" s="18"/>
      <c r="I67" s="33" t="s">
        <v>211</v>
      </c>
      <c r="J67" s="37" t="s">
        <v>221</v>
      </c>
      <c r="K67" s="18"/>
      <c r="L67" s="123">
        <v>22750</v>
      </c>
      <c r="M67" s="123">
        <v>22750</v>
      </c>
      <c r="N67" s="124">
        <v>22750</v>
      </c>
      <c r="O67" s="41">
        <f t="shared" si="11"/>
        <v>0</v>
      </c>
      <c r="P67" s="27">
        <f t="shared" si="12"/>
        <v>0</v>
      </c>
    </row>
    <row r="68" spans="1:16" x14ac:dyDescent="0.3">
      <c r="A68" s="18"/>
      <c r="B68" s="18"/>
      <c r="C68" s="18"/>
      <c r="D68" s="50" t="s">
        <v>1</v>
      </c>
      <c r="E68" s="22" t="s">
        <v>901</v>
      </c>
      <c r="F68" s="23" t="s">
        <v>2</v>
      </c>
      <c r="G68" s="22" t="s">
        <v>3</v>
      </c>
      <c r="H68" s="23" t="s">
        <v>3</v>
      </c>
      <c r="I68" s="33" t="s">
        <v>212</v>
      </c>
      <c r="J68" s="37" t="s">
        <v>222</v>
      </c>
      <c r="K68" s="18"/>
      <c r="L68" s="123">
        <v>700</v>
      </c>
      <c r="M68" s="123">
        <v>700</v>
      </c>
      <c r="N68" s="124">
        <v>700</v>
      </c>
      <c r="O68" s="41">
        <f t="shared" si="11"/>
        <v>0</v>
      </c>
      <c r="P68" s="27">
        <f t="shared" si="12"/>
        <v>0</v>
      </c>
    </row>
    <row r="69" spans="1:16" x14ac:dyDescent="0.3">
      <c r="A69" s="18"/>
      <c r="B69" s="18"/>
      <c r="C69" s="18"/>
      <c r="D69" s="50">
        <v>2022</v>
      </c>
      <c r="E69" s="22">
        <v>2023</v>
      </c>
      <c r="F69" s="23">
        <v>2024</v>
      </c>
      <c r="G69" s="22" t="s">
        <v>894</v>
      </c>
      <c r="H69" s="23" t="s">
        <v>902</v>
      </c>
      <c r="I69" s="33" t="s">
        <v>213</v>
      </c>
      <c r="J69" s="37" t="s">
        <v>161</v>
      </c>
      <c r="K69" s="18"/>
      <c r="L69" s="123">
        <v>500</v>
      </c>
      <c r="M69" s="123">
        <v>500</v>
      </c>
      <c r="N69" s="124">
        <v>0</v>
      </c>
      <c r="O69" s="41">
        <f t="shared" si="11"/>
        <v>0</v>
      </c>
      <c r="P69" s="27">
        <f t="shared" si="12"/>
        <v>-1</v>
      </c>
    </row>
    <row r="70" spans="1:16" x14ac:dyDescent="0.3">
      <c r="A70" s="18" t="s">
        <v>80</v>
      </c>
      <c r="B70" s="34" t="s">
        <v>85</v>
      </c>
      <c r="C70" s="18"/>
      <c r="D70" s="127">
        <v>0</v>
      </c>
      <c r="E70" s="123">
        <v>0</v>
      </c>
      <c r="F70" s="124">
        <v>0</v>
      </c>
      <c r="G70" s="41" t="e">
        <f>(E70-D70)/D70</f>
        <v>#DIV/0!</v>
      </c>
      <c r="H70" s="27" t="e">
        <f>(F70-E70)/E70</f>
        <v>#DIV/0!</v>
      </c>
      <c r="I70" s="33" t="s">
        <v>214</v>
      </c>
      <c r="J70" s="37" t="s">
        <v>223</v>
      </c>
      <c r="K70" s="18"/>
      <c r="L70" s="123">
        <v>0</v>
      </c>
      <c r="M70" s="123">
        <v>0</v>
      </c>
      <c r="N70" s="124">
        <v>0</v>
      </c>
      <c r="O70" s="41" t="e">
        <f t="shared" si="11"/>
        <v>#DIV/0!</v>
      </c>
      <c r="P70" s="27" t="e">
        <f t="shared" si="12"/>
        <v>#DIV/0!</v>
      </c>
    </row>
    <row r="71" spans="1:16" x14ac:dyDescent="0.3">
      <c r="A71" s="18" t="s">
        <v>81</v>
      </c>
      <c r="B71" s="34" t="s">
        <v>86</v>
      </c>
      <c r="C71" s="18"/>
      <c r="D71" s="127">
        <v>0</v>
      </c>
      <c r="E71" s="123">
        <v>0</v>
      </c>
      <c r="F71" s="124">
        <v>0</v>
      </c>
      <c r="G71" s="41" t="e">
        <f>(E71-D71)/D71</f>
        <v>#DIV/0!</v>
      </c>
      <c r="H71" s="27" t="e">
        <f t="shared" ref="H71:H75" si="13">(F71-E71)/E71</f>
        <v>#DIV/0!</v>
      </c>
      <c r="I71" s="33" t="s">
        <v>215</v>
      </c>
      <c r="J71" s="37" t="s">
        <v>224</v>
      </c>
      <c r="K71" s="18"/>
      <c r="L71" s="123">
        <v>11000</v>
      </c>
      <c r="M71" s="123">
        <v>11000</v>
      </c>
      <c r="N71" s="124">
        <v>11000</v>
      </c>
      <c r="O71" s="41">
        <f t="shared" si="11"/>
        <v>0</v>
      </c>
      <c r="P71" s="27">
        <f t="shared" si="12"/>
        <v>0</v>
      </c>
    </row>
    <row r="72" spans="1:16" x14ac:dyDescent="0.3">
      <c r="A72" s="18" t="s">
        <v>82</v>
      </c>
      <c r="B72" s="34" t="s">
        <v>87</v>
      </c>
      <c r="C72" s="18"/>
      <c r="D72" s="127">
        <v>41265</v>
      </c>
      <c r="E72" s="123">
        <v>42000</v>
      </c>
      <c r="F72" s="124">
        <v>43000</v>
      </c>
      <c r="G72" s="41">
        <f>(E72-D72)/D72</f>
        <v>1.7811704834605598E-2</v>
      </c>
      <c r="H72" s="27">
        <f t="shared" si="13"/>
        <v>2.3809523809523808E-2</v>
      </c>
      <c r="I72" s="18"/>
      <c r="J72" s="24" t="s">
        <v>7</v>
      </c>
      <c r="K72" s="24"/>
      <c r="L72" s="24">
        <f>SUM(L62:L71)</f>
        <v>409550</v>
      </c>
      <c r="M72" s="25">
        <f>SUM(M62:M71)</f>
        <v>409550</v>
      </c>
      <c r="N72" s="126">
        <f>SUM(N62:N71)</f>
        <v>409050</v>
      </c>
      <c r="O72" s="42">
        <f t="shared" si="11"/>
        <v>0</v>
      </c>
      <c r="P72" s="29">
        <f t="shared" si="12"/>
        <v>-1.2208521548040532E-3</v>
      </c>
    </row>
    <row r="73" spans="1:16" x14ac:dyDescent="0.3">
      <c r="A73" s="18" t="s">
        <v>83</v>
      </c>
      <c r="B73" s="34" t="s">
        <v>88</v>
      </c>
      <c r="C73" s="18"/>
      <c r="D73" s="127">
        <v>11000</v>
      </c>
      <c r="E73" s="123">
        <v>12000</v>
      </c>
      <c r="F73" s="124">
        <v>12000</v>
      </c>
      <c r="G73" s="41">
        <f>(E73-D73)/D73</f>
        <v>9.0909090909090912E-2</v>
      </c>
      <c r="H73" s="27">
        <f t="shared" si="13"/>
        <v>0</v>
      </c>
    </row>
    <row r="74" spans="1:16" x14ac:dyDescent="0.3">
      <c r="A74" s="18" t="s">
        <v>84</v>
      </c>
      <c r="B74" s="34" t="s">
        <v>89</v>
      </c>
      <c r="C74" s="18"/>
      <c r="D74" s="127">
        <v>6500</v>
      </c>
      <c r="E74" s="123">
        <v>4500</v>
      </c>
      <c r="F74" s="124">
        <v>4500</v>
      </c>
      <c r="G74" s="41">
        <f>(E74-D74)/D74</f>
        <v>-0.30769230769230771</v>
      </c>
      <c r="H74" s="27">
        <f t="shared" si="13"/>
        <v>0</v>
      </c>
    </row>
    <row r="75" spans="1:16" x14ac:dyDescent="0.3">
      <c r="A75" s="18"/>
      <c r="B75" s="24" t="s">
        <v>7</v>
      </c>
      <c r="C75" s="24"/>
      <c r="D75" s="128">
        <f>SUM(D70:D74)</f>
        <v>58765</v>
      </c>
      <c r="E75" s="125">
        <f>SUM(E70:E74)</f>
        <v>58500</v>
      </c>
      <c r="F75" s="126">
        <f>SUM(F70:F74)</f>
        <v>59500</v>
      </c>
      <c r="G75" s="42">
        <f>(E75-D75)/D75</f>
        <v>-4.5094869395048073E-3</v>
      </c>
      <c r="H75" s="29">
        <f t="shared" si="13"/>
        <v>1.7094017094017096E-2</v>
      </c>
      <c r="I75" s="24" t="s">
        <v>225</v>
      </c>
      <c r="J75" s="18"/>
      <c r="K75" s="18"/>
      <c r="L75" s="22" t="s">
        <v>1</v>
      </c>
      <c r="M75" s="22" t="s">
        <v>901</v>
      </c>
      <c r="N75" s="23" t="s">
        <v>2</v>
      </c>
      <c r="O75" s="22" t="s">
        <v>3</v>
      </c>
      <c r="P75" s="23" t="s">
        <v>3</v>
      </c>
    </row>
    <row r="76" spans="1:16" x14ac:dyDescent="0.3">
      <c r="I76" s="18"/>
      <c r="J76" s="18"/>
      <c r="K76" s="18"/>
      <c r="L76" s="22">
        <v>2022</v>
      </c>
      <c r="M76" s="22">
        <v>2023</v>
      </c>
      <c r="N76" s="23">
        <v>2024</v>
      </c>
      <c r="O76" s="22" t="s">
        <v>894</v>
      </c>
      <c r="P76" s="23" t="s">
        <v>902</v>
      </c>
    </row>
    <row r="77" spans="1:16" x14ac:dyDescent="0.3">
      <c r="I77" s="18" t="s">
        <v>226</v>
      </c>
      <c r="J77" s="34" t="s">
        <v>779</v>
      </c>
      <c r="K77" s="18"/>
      <c r="L77" s="123">
        <v>3500</v>
      </c>
      <c r="M77" s="123">
        <v>3500</v>
      </c>
      <c r="N77" s="124">
        <f>(M77*1.33)</f>
        <v>4655</v>
      </c>
      <c r="O77" s="41">
        <f>(M77-L77)/L77</f>
        <v>0</v>
      </c>
      <c r="P77" s="27">
        <f>(N77-M77)/M77</f>
        <v>0.33</v>
      </c>
    </row>
    <row r="78" spans="1:16" x14ac:dyDescent="0.3">
      <c r="I78" s="18" t="s">
        <v>227</v>
      </c>
      <c r="J78" s="34" t="s">
        <v>780</v>
      </c>
      <c r="K78" s="18"/>
      <c r="L78" s="123">
        <v>340000</v>
      </c>
      <c r="M78" s="123">
        <v>340000</v>
      </c>
      <c r="N78" s="124">
        <f>(M78*1.33)</f>
        <v>452200</v>
      </c>
      <c r="O78" s="41">
        <f t="shared" ref="O78:O86" si="14">(M78-L78)/L78</f>
        <v>0</v>
      </c>
      <c r="P78" s="27">
        <f t="shared" ref="P78:P86" si="15">(N78-M78)/M78</f>
        <v>0.33</v>
      </c>
    </row>
    <row r="79" spans="1:16" x14ac:dyDescent="0.3">
      <c r="I79" s="18" t="s">
        <v>228</v>
      </c>
      <c r="J79" s="34" t="s">
        <v>781</v>
      </c>
      <c r="K79" s="18"/>
      <c r="L79" s="123">
        <v>137000</v>
      </c>
      <c r="M79" s="123">
        <v>137000</v>
      </c>
      <c r="N79" s="124">
        <f t="shared" ref="N79:N81" si="16">(M79*1.33)</f>
        <v>182210</v>
      </c>
      <c r="O79" s="41">
        <f t="shared" si="14"/>
        <v>0</v>
      </c>
      <c r="P79" s="27">
        <f t="shared" si="15"/>
        <v>0.33</v>
      </c>
    </row>
    <row r="80" spans="1:16" x14ac:dyDescent="0.3">
      <c r="I80" s="18" t="s">
        <v>229</v>
      </c>
      <c r="J80" s="34" t="s">
        <v>782</v>
      </c>
      <c r="K80" s="18"/>
      <c r="L80" s="123">
        <v>73000</v>
      </c>
      <c r="M80" s="123">
        <v>73000</v>
      </c>
      <c r="N80" s="124">
        <f t="shared" si="16"/>
        <v>97090</v>
      </c>
      <c r="O80" s="41">
        <f t="shared" si="14"/>
        <v>0</v>
      </c>
      <c r="P80" s="27">
        <f t="shared" si="15"/>
        <v>0.33</v>
      </c>
    </row>
    <row r="81" spans="1:17" x14ac:dyDescent="0.3">
      <c r="I81" s="18" t="s">
        <v>230</v>
      </c>
      <c r="J81" s="34" t="s">
        <v>783</v>
      </c>
      <c r="K81" s="18"/>
      <c r="L81" s="123">
        <v>45000</v>
      </c>
      <c r="M81" s="123">
        <v>45000</v>
      </c>
      <c r="N81" s="124">
        <f t="shared" si="16"/>
        <v>59850</v>
      </c>
      <c r="O81" s="41">
        <f t="shared" si="14"/>
        <v>0</v>
      </c>
      <c r="P81" s="27">
        <f t="shared" si="15"/>
        <v>0.33</v>
      </c>
    </row>
    <row r="82" spans="1:17" x14ac:dyDescent="0.3">
      <c r="I82" s="18" t="s">
        <v>231</v>
      </c>
      <c r="J82" s="34" t="s">
        <v>784</v>
      </c>
      <c r="K82" s="18"/>
      <c r="L82" s="123">
        <v>4200</v>
      </c>
      <c r="M82" s="123">
        <v>4200</v>
      </c>
      <c r="N82" s="124">
        <v>4200</v>
      </c>
      <c r="O82" s="41">
        <f t="shared" si="14"/>
        <v>0</v>
      </c>
      <c r="P82" s="27">
        <f t="shared" si="15"/>
        <v>0</v>
      </c>
    </row>
    <row r="83" spans="1:17" x14ac:dyDescent="0.3">
      <c r="I83" s="18" t="s">
        <v>232</v>
      </c>
      <c r="J83" s="34" t="s">
        <v>785</v>
      </c>
      <c r="K83" s="18"/>
      <c r="L83" s="123">
        <v>1400</v>
      </c>
      <c r="M83" s="123">
        <v>1400</v>
      </c>
      <c r="N83" s="124">
        <v>1400</v>
      </c>
      <c r="O83" s="41">
        <f t="shared" si="14"/>
        <v>0</v>
      </c>
      <c r="P83" s="27">
        <f t="shared" si="15"/>
        <v>0</v>
      </c>
    </row>
    <row r="84" spans="1:17" x14ac:dyDescent="0.3">
      <c r="I84" s="18" t="s">
        <v>233</v>
      </c>
      <c r="J84" s="37" t="s">
        <v>161</v>
      </c>
      <c r="K84" s="18"/>
      <c r="L84" s="123">
        <v>2800</v>
      </c>
      <c r="M84" s="123">
        <v>2800</v>
      </c>
      <c r="N84" s="124">
        <v>0</v>
      </c>
      <c r="O84" s="41">
        <f t="shared" si="14"/>
        <v>0</v>
      </c>
      <c r="P84" s="27">
        <f t="shared" si="15"/>
        <v>-1</v>
      </c>
    </row>
    <row r="85" spans="1:17" x14ac:dyDescent="0.3">
      <c r="I85" s="18" t="s">
        <v>234</v>
      </c>
      <c r="J85" s="37" t="s">
        <v>786</v>
      </c>
      <c r="K85" s="18"/>
      <c r="L85" s="123">
        <v>0</v>
      </c>
      <c r="M85" s="123">
        <v>0</v>
      </c>
      <c r="N85" s="124">
        <v>0</v>
      </c>
      <c r="O85" s="41" t="e">
        <f t="shared" si="14"/>
        <v>#DIV/0!</v>
      </c>
      <c r="P85" s="27" t="e">
        <f t="shared" si="15"/>
        <v>#DIV/0!</v>
      </c>
    </row>
    <row r="86" spans="1:17" x14ac:dyDescent="0.3">
      <c r="I86" s="18"/>
      <c r="J86" s="24" t="s">
        <v>7</v>
      </c>
      <c r="K86" s="24"/>
      <c r="L86" s="125">
        <f>SUM(L77:L85)</f>
        <v>606900</v>
      </c>
      <c r="M86" s="125">
        <f>SUM(M77:M85)</f>
        <v>606900</v>
      </c>
      <c r="N86" s="126">
        <f>SUM(N77:N85)</f>
        <v>801605</v>
      </c>
      <c r="O86" s="42">
        <f t="shared" si="14"/>
        <v>0</v>
      </c>
      <c r="P86" s="29">
        <f t="shared" si="15"/>
        <v>0.32081891580161476</v>
      </c>
    </row>
    <row r="88" spans="1:17" x14ac:dyDescent="0.3">
      <c r="E88" s="6" t="s">
        <v>864</v>
      </c>
      <c r="M88" s="6" t="s">
        <v>868</v>
      </c>
    </row>
    <row r="89" spans="1:17" x14ac:dyDescent="0.3">
      <c r="I89" s="24"/>
      <c r="J89" s="18"/>
      <c r="K89" s="18"/>
      <c r="L89" s="22" t="s">
        <v>1</v>
      </c>
      <c r="M89" s="22" t="s">
        <v>901</v>
      </c>
      <c r="N89" s="23" t="s">
        <v>2</v>
      </c>
      <c r="O89" s="22" t="s">
        <v>3</v>
      </c>
      <c r="P89" s="23" t="s">
        <v>3</v>
      </c>
    </row>
    <row r="90" spans="1:17" x14ac:dyDescent="0.3">
      <c r="I90" s="18"/>
      <c r="J90" s="18"/>
      <c r="K90" s="18"/>
      <c r="L90" s="22">
        <v>2022</v>
      </c>
      <c r="M90" s="22">
        <v>2023</v>
      </c>
      <c r="N90" s="23">
        <v>2024</v>
      </c>
      <c r="O90" s="22" t="s">
        <v>894</v>
      </c>
      <c r="P90" s="23" t="s">
        <v>902</v>
      </c>
    </row>
    <row r="91" spans="1:17" x14ac:dyDescent="0.3">
      <c r="D91" s="6"/>
      <c r="I91" s="55" t="s">
        <v>235</v>
      </c>
      <c r="J91" s="18"/>
      <c r="K91" s="18"/>
      <c r="L91" s="123">
        <f>(D12)</f>
        <v>1720000</v>
      </c>
      <c r="M91" s="123">
        <v>2020132</v>
      </c>
      <c r="N91" s="124">
        <v>2062062</v>
      </c>
      <c r="O91" s="41">
        <f>(M91-L91)/L91</f>
        <v>0.1744953488372093</v>
      </c>
      <c r="P91" s="27">
        <f>(N91-M91)/M91</f>
        <v>2.075606940536559E-2</v>
      </c>
    </row>
    <row r="92" spans="1:17" x14ac:dyDescent="0.3">
      <c r="I92" s="55" t="s">
        <v>236</v>
      </c>
      <c r="J92" s="18"/>
      <c r="K92" s="18"/>
      <c r="L92" s="123">
        <f>(D22)</f>
        <v>181000</v>
      </c>
      <c r="M92" s="123">
        <f>(E22)</f>
        <v>180100</v>
      </c>
      <c r="N92" s="124">
        <f>(F22)</f>
        <v>180100</v>
      </c>
      <c r="O92" s="41">
        <f t="shared" ref="O92:O110" si="17">(M92-L92)/L92</f>
        <v>-4.9723756906077344E-3</v>
      </c>
      <c r="P92" s="27">
        <f t="shared" ref="P92:P110" si="18">(N92-M92)/M92</f>
        <v>0</v>
      </c>
    </row>
    <row r="93" spans="1:17" ht="15.75" customHeight="1" x14ac:dyDescent="0.3">
      <c r="A93" s="24" t="s">
        <v>90</v>
      </c>
      <c r="B93" s="18"/>
      <c r="C93" s="18"/>
      <c r="D93" s="18"/>
      <c r="E93" s="18"/>
      <c r="F93" s="18"/>
      <c r="G93" s="18"/>
      <c r="H93" s="39"/>
      <c r="I93" s="55" t="s">
        <v>237</v>
      </c>
      <c r="J93" s="18"/>
      <c r="K93" s="18"/>
      <c r="L93" s="123">
        <f>(D29)</f>
        <v>1700</v>
      </c>
      <c r="M93" s="123">
        <f>(E29)</f>
        <v>1200</v>
      </c>
      <c r="N93" s="124">
        <f>(F29)</f>
        <v>0</v>
      </c>
      <c r="O93" s="41">
        <f t="shared" si="17"/>
        <v>-0.29411764705882354</v>
      </c>
      <c r="P93" s="27">
        <f t="shared" si="18"/>
        <v>-1</v>
      </c>
      <c r="Q93" s="1"/>
    </row>
    <row r="94" spans="1:17" ht="15.75" customHeight="1" x14ac:dyDescent="0.3">
      <c r="A94" s="18"/>
      <c r="B94" s="18"/>
      <c r="C94" s="18"/>
      <c r="D94" s="22" t="s">
        <v>1</v>
      </c>
      <c r="E94" s="22" t="s">
        <v>901</v>
      </c>
      <c r="F94" s="23" t="s">
        <v>2</v>
      </c>
      <c r="G94" s="22" t="s">
        <v>3</v>
      </c>
      <c r="H94" s="23" t="s">
        <v>3</v>
      </c>
      <c r="I94" s="55" t="s">
        <v>238</v>
      </c>
      <c r="J94" s="18"/>
      <c r="K94" s="18"/>
      <c r="L94" s="123">
        <f>(D43)</f>
        <v>838001.29</v>
      </c>
      <c r="M94" s="123">
        <f>(E43)</f>
        <v>850549.41</v>
      </c>
      <c r="N94" s="124">
        <f>(F43)</f>
        <v>957437.47</v>
      </c>
      <c r="O94" s="41">
        <f t="shared" si="17"/>
        <v>1.4973867164333356E-2</v>
      </c>
      <c r="P94" s="27">
        <f t="shared" si="18"/>
        <v>0.12566943053902058</v>
      </c>
      <c r="Q94" s="1"/>
    </row>
    <row r="95" spans="1:17" x14ac:dyDescent="0.3">
      <c r="A95" s="18"/>
      <c r="B95" s="18"/>
      <c r="C95" s="18"/>
      <c r="D95" s="22">
        <v>2022</v>
      </c>
      <c r="E95" s="22">
        <v>2023</v>
      </c>
      <c r="F95" s="23">
        <v>2024</v>
      </c>
      <c r="G95" s="22" t="s">
        <v>894</v>
      </c>
      <c r="H95" s="23" t="s">
        <v>902</v>
      </c>
      <c r="I95" s="55" t="s">
        <v>239</v>
      </c>
      <c r="J95" s="18"/>
      <c r="K95" s="18"/>
      <c r="L95" s="123">
        <f>(D130)</f>
        <v>197000</v>
      </c>
      <c r="M95" s="123">
        <f>(E130)</f>
        <v>197000</v>
      </c>
      <c r="N95" s="124">
        <f>(F130)</f>
        <v>197000</v>
      </c>
      <c r="O95" s="41">
        <f t="shared" si="17"/>
        <v>0</v>
      </c>
      <c r="P95" s="27">
        <f t="shared" si="18"/>
        <v>0</v>
      </c>
      <c r="Q95" s="2"/>
    </row>
    <row r="96" spans="1:17" x14ac:dyDescent="0.3">
      <c r="A96" s="18" t="s">
        <v>91</v>
      </c>
      <c r="B96" s="34" t="s">
        <v>112</v>
      </c>
      <c r="C96" s="18"/>
      <c r="D96" s="123">
        <v>825</v>
      </c>
      <c r="E96" s="123">
        <v>850</v>
      </c>
      <c r="F96" s="124">
        <v>850</v>
      </c>
      <c r="G96" s="41">
        <f>(E96-D96)/D96</f>
        <v>3.0303030303030304E-2</v>
      </c>
      <c r="H96" s="27">
        <f>(F96-E96)/E96</f>
        <v>0</v>
      </c>
      <c r="I96" s="55" t="s">
        <v>240</v>
      </c>
      <c r="J96" s="18"/>
      <c r="K96" s="18"/>
      <c r="L96" s="123">
        <f>(D65)</f>
        <v>63060</v>
      </c>
      <c r="M96" s="123">
        <f>(E65)</f>
        <v>62650</v>
      </c>
      <c r="N96" s="124">
        <f>(F65)</f>
        <v>67650</v>
      </c>
      <c r="O96" s="41">
        <f t="shared" si="17"/>
        <v>-6.5017443704408501E-3</v>
      </c>
      <c r="P96" s="27">
        <f t="shared" si="18"/>
        <v>7.9808459696727854E-2</v>
      </c>
      <c r="Q96" s="2"/>
    </row>
    <row r="97" spans="1:20" x14ac:dyDescent="0.3">
      <c r="A97" s="18" t="s">
        <v>92</v>
      </c>
      <c r="B97" s="34" t="s">
        <v>113</v>
      </c>
      <c r="C97" s="18"/>
      <c r="D97" s="123">
        <v>5000</v>
      </c>
      <c r="E97" s="123">
        <v>5000</v>
      </c>
      <c r="F97" s="124">
        <v>3000</v>
      </c>
      <c r="G97" s="41">
        <f t="shared" ref="G97:G117" si="19">(E97-D97)/D97</f>
        <v>0</v>
      </c>
      <c r="H97" s="27">
        <f t="shared" ref="H97:H117" si="20">(F97-E97)/E97</f>
        <v>-0.4</v>
      </c>
      <c r="I97" s="55" t="s">
        <v>241</v>
      </c>
      <c r="J97" s="18"/>
      <c r="K97" s="18"/>
      <c r="L97" s="123">
        <f>(D75)</f>
        <v>58765</v>
      </c>
      <c r="M97" s="123">
        <f>(E75)</f>
        <v>58500</v>
      </c>
      <c r="N97" s="124">
        <f>(F75)</f>
        <v>59500</v>
      </c>
      <c r="O97" s="41">
        <f t="shared" si="17"/>
        <v>-4.5094869395048073E-3</v>
      </c>
      <c r="P97" s="27">
        <f t="shared" si="18"/>
        <v>1.7094017094017096E-2</v>
      </c>
      <c r="Q97" s="2"/>
    </row>
    <row r="98" spans="1:20" x14ac:dyDescent="0.3">
      <c r="A98" s="18" t="s">
        <v>93</v>
      </c>
      <c r="B98" s="34" t="s">
        <v>114</v>
      </c>
      <c r="C98" s="18"/>
      <c r="D98" s="123">
        <v>2000</v>
      </c>
      <c r="E98" s="123">
        <v>1500</v>
      </c>
      <c r="F98" s="124">
        <v>1500</v>
      </c>
      <c r="G98" s="41">
        <f t="shared" si="19"/>
        <v>-0.25</v>
      </c>
      <c r="H98" s="27">
        <f t="shared" si="20"/>
        <v>0</v>
      </c>
      <c r="I98" s="55" t="s">
        <v>252</v>
      </c>
      <c r="J98" s="18"/>
      <c r="K98" s="18"/>
      <c r="L98" s="123">
        <f>(D117)</f>
        <v>67725</v>
      </c>
      <c r="M98" s="123">
        <f>(E117)</f>
        <v>70250</v>
      </c>
      <c r="N98" s="124">
        <f>(F117)</f>
        <v>66050</v>
      </c>
      <c r="O98" s="41">
        <f t="shared" si="17"/>
        <v>3.7283130306386122E-2</v>
      </c>
      <c r="P98" s="27">
        <f t="shared" si="18"/>
        <v>-5.9786476868327401E-2</v>
      </c>
      <c r="Q98" s="2"/>
    </row>
    <row r="99" spans="1:20" x14ac:dyDescent="0.3">
      <c r="A99" s="18" t="s">
        <v>94</v>
      </c>
      <c r="B99" s="34" t="s">
        <v>115</v>
      </c>
      <c r="C99" s="18"/>
      <c r="D99" s="123">
        <v>0</v>
      </c>
      <c r="E99" s="123">
        <v>0</v>
      </c>
      <c r="F99" s="124">
        <v>0</v>
      </c>
      <c r="G99" s="41" t="e">
        <f t="shared" si="19"/>
        <v>#DIV/0!</v>
      </c>
      <c r="H99" s="27" t="e">
        <f t="shared" si="20"/>
        <v>#DIV/0!</v>
      </c>
      <c r="I99" s="55" t="s">
        <v>242</v>
      </c>
      <c r="J99" s="18"/>
      <c r="K99" s="18"/>
      <c r="L99" s="123">
        <f>(D159)</f>
        <v>146450</v>
      </c>
      <c r="M99" s="123">
        <f>(E159)</f>
        <v>116550</v>
      </c>
      <c r="N99" s="124">
        <f>(F159)</f>
        <v>91950</v>
      </c>
      <c r="O99" s="41">
        <f t="shared" si="17"/>
        <v>-0.20416524411061795</v>
      </c>
      <c r="P99" s="27">
        <f t="shared" si="18"/>
        <v>-0.21106821106821108</v>
      </c>
      <c r="Q99" s="2"/>
    </row>
    <row r="100" spans="1:20" x14ac:dyDescent="0.3">
      <c r="A100" s="18" t="s">
        <v>95</v>
      </c>
      <c r="B100" s="34" t="s">
        <v>116</v>
      </c>
      <c r="C100" s="18"/>
      <c r="D100" s="123">
        <v>1200</v>
      </c>
      <c r="E100" s="123">
        <v>1200</v>
      </c>
      <c r="F100" s="124">
        <v>0</v>
      </c>
      <c r="G100" s="41">
        <f t="shared" si="19"/>
        <v>0</v>
      </c>
      <c r="H100" s="27">
        <f t="shared" si="20"/>
        <v>-1</v>
      </c>
      <c r="I100" s="55" t="s">
        <v>243</v>
      </c>
      <c r="J100" s="18"/>
      <c r="K100" s="18"/>
      <c r="L100" s="123">
        <v>0</v>
      </c>
      <c r="M100" s="123">
        <v>0</v>
      </c>
      <c r="N100" s="124">
        <v>0</v>
      </c>
      <c r="O100" s="41" t="e">
        <f t="shared" si="17"/>
        <v>#DIV/0!</v>
      </c>
      <c r="P100" s="27" t="e">
        <f t="shared" si="18"/>
        <v>#DIV/0!</v>
      </c>
      <c r="Q100" s="2"/>
    </row>
    <row r="101" spans="1:20" x14ac:dyDescent="0.3">
      <c r="A101" s="18" t="s">
        <v>96</v>
      </c>
      <c r="B101" s="34" t="s">
        <v>117</v>
      </c>
      <c r="C101" s="18"/>
      <c r="D101" s="123">
        <v>12500</v>
      </c>
      <c r="E101" s="123">
        <v>12500</v>
      </c>
      <c r="F101" s="124">
        <v>12500</v>
      </c>
      <c r="G101" s="41">
        <f t="shared" si="19"/>
        <v>0</v>
      </c>
      <c r="H101" s="27">
        <f t="shared" si="20"/>
        <v>0</v>
      </c>
      <c r="I101" s="55" t="s">
        <v>244</v>
      </c>
      <c r="J101" s="18"/>
      <c r="K101" s="18"/>
      <c r="L101" s="123">
        <f>(L72)</f>
        <v>409550</v>
      </c>
      <c r="M101" s="123">
        <f>(M72)</f>
        <v>409550</v>
      </c>
      <c r="N101" s="124">
        <f>(N72)</f>
        <v>409050</v>
      </c>
      <c r="O101" s="41">
        <f t="shared" si="17"/>
        <v>0</v>
      </c>
      <c r="P101" s="27">
        <f t="shared" si="18"/>
        <v>-1.2208521548040532E-3</v>
      </c>
      <c r="Q101" s="2"/>
    </row>
    <row r="102" spans="1:20" x14ac:dyDescent="0.3">
      <c r="A102" s="18" t="s">
        <v>97</v>
      </c>
      <c r="B102" s="34" t="s">
        <v>118</v>
      </c>
      <c r="C102" s="18"/>
      <c r="D102" s="123">
        <v>500</v>
      </c>
      <c r="E102" s="123">
        <v>500</v>
      </c>
      <c r="F102" s="124">
        <v>500</v>
      </c>
      <c r="G102" s="41">
        <f t="shared" si="19"/>
        <v>0</v>
      </c>
      <c r="H102" s="27">
        <f t="shared" si="20"/>
        <v>0</v>
      </c>
      <c r="I102" s="55" t="s">
        <v>245</v>
      </c>
      <c r="J102" s="18"/>
      <c r="K102" s="18"/>
      <c r="L102" s="123">
        <f>(L86)</f>
        <v>606900</v>
      </c>
      <c r="M102" s="123">
        <f>(M86)</f>
        <v>606900</v>
      </c>
      <c r="N102" s="124">
        <f>(N86)</f>
        <v>801605</v>
      </c>
      <c r="O102" s="41">
        <f t="shared" si="17"/>
        <v>0</v>
      </c>
      <c r="P102" s="27">
        <f t="shared" si="18"/>
        <v>0.32081891580161476</v>
      </c>
      <c r="Q102" s="2"/>
    </row>
    <row r="103" spans="1:20" x14ac:dyDescent="0.3">
      <c r="A103" s="18" t="s">
        <v>98</v>
      </c>
      <c r="B103" s="34" t="s">
        <v>119</v>
      </c>
      <c r="C103" s="18"/>
      <c r="D103" s="123">
        <v>400</v>
      </c>
      <c r="E103" s="123">
        <v>400</v>
      </c>
      <c r="F103" s="124">
        <v>400</v>
      </c>
      <c r="G103" s="41">
        <f t="shared" si="19"/>
        <v>0</v>
      </c>
      <c r="H103" s="27">
        <f t="shared" si="20"/>
        <v>0</v>
      </c>
      <c r="I103" s="55" t="s">
        <v>246</v>
      </c>
      <c r="J103" s="18"/>
      <c r="K103" s="18"/>
      <c r="L103" s="123">
        <f>(L7)</f>
        <v>467005</v>
      </c>
      <c r="M103" s="123">
        <f>(M7)</f>
        <v>455000</v>
      </c>
      <c r="N103" s="124">
        <f>(N7)</f>
        <v>445000</v>
      </c>
      <c r="O103" s="41">
        <f t="shared" si="17"/>
        <v>-2.5706362886906992E-2</v>
      </c>
      <c r="P103" s="27">
        <f t="shared" si="18"/>
        <v>-2.197802197802198E-2</v>
      </c>
      <c r="Q103" s="2"/>
    </row>
    <row r="104" spans="1:20" x14ac:dyDescent="0.3">
      <c r="A104" s="18" t="s">
        <v>99</v>
      </c>
      <c r="B104" s="34" t="s">
        <v>131</v>
      </c>
      <c r="C104" s="18"/>
      <c r="D104" s="123">
        <v>300</v>
      </c>
      <c r="E104" s="123">
        <v>300</v>
      </c>
      <c r="F104" s="124">
        <v>300</v>
      </c>
      <c r="G104" s="41">
        <f t="shared" si="19"/>
        <v>0</v>
      </c>
      <c r="H104" s="27">
        <f t="shared" si="20"/>
        <v>0</v>
      </c>
      <c r="I104" s="55" t="s">
        <v>247</v>
      </c>
      <c r="J104" s="18"/>
      <c r="K104" s="18"/>
      <c r="L104" s="123">
        <v>0</v>
      </c>
      <c r="M104" s="123">
        <v>0</v>
      </c>
      <c r="N104" s="124">
        <v>0</v>
      </c>
      <c r="O104" s="41" t="e">
        <f t="shared" si="17"/>
        <v>#DIV/0!</v>
      </c>
      <c r="P104" s="27" t="e">
        <f t="shared" si="18"/>
        <v>#DIV/0!</v>
      </c>
      <c r="Q104" s="8"/>
      <c r="T104" s="10"/>
    </row>
    <row r="105" spans="1:20" x14ac:dyDescent="0.3">
      <c r="A105" s="18" t="s">
        <v>100</v>
      </c>
      <c r="B105" s="34" t="s">
        <v>120</v>
      </c>
      <c r="C105" s="18"/>
      <c r="D105" s="123">
        <v>0</v>
      </c>
      <c r="E105" s="123">
        <v>0</v>
      </c>
      <c r="F105" s="124">
        <v>0</v>
      </c>
      <c r="G105" s="41" t="e">
        <f t="shared" si="19"/>
        <v>#DIV/0!</v>
      </c>
      <c r="H105" s="27" t="e">
        <f t="shared" si="20"/>
        <v>#DIV/0!</v>
      </c>
      <c r="I105" s="55" t="s">
        <v>248</v>
      </c>
      <c r="J105" s="18"/>
      <c r="K105" s="18"/>
      <c r="L105" s="123">
        <f>(L14)</f>
        <v>350000</v>
      </c>
      <c r="M105" s="123">
        <f>(M14)</f>
        <v>350000</v>
      </c>
      <c r="N105" s="124">
        <f>(N14)</f>
        <v>350000</v>
      </c>
      <c r="O105" s="41">
        <f t="shared" si="17"/>
        <v>0</v>
      </c>
      <c r="P105" s="27">
        <f t="shared" si="18"/>
        <v>0</v>
      </c>
      <c r="Q105" s="2"/>
    </row>
    <row r="106" spans="1:20" x14ac:dyDescent="0.3">
      <c r="A106" s="18" t="s">
        <v>101</v>
      </c>
      <c r="B106" s="34" t="s">
        <v>123</v>
      </c>
      <c r="C106" s="18"/>
      <c r="D106" s="123">
        <v>0</v>
      </c>
      <c r="E106" s="123">
        <v>0</v>
      </c>
      <c r="F106" s="124">
        <v>0</v>
      </c>
      <c r="G106" s="41" t="e">
        <f t="shared" si="19"/>
        <v>#DIV/0!</v>
      </c>
      <c r="H106" s="27" t="e">
        <f t="shared" si="20"/>
        <v>#DIV/0!</v>
      </c>
      <c r="I106" s="55" t="s">
        <v>249</v>
      </c>
      <c r="J106" s="18"/>
      <c r="K106" s="18"/>
      <c r="L106" s="123">
        <f>(L19)</f>
        <v>65000</v>
      </c>
      <c r="M106" s="123">
        <f>(M19)</f>
        <v>62500</v>
      </c>
      <c r="N106" s="124">
        <f>(N19)</f>
        <v>62500</v>
      </c>
      <c r="O106" s="41">
        <f t="shared" si="17"/>
        <v>-3.8461538461538464E-2</v>
      </c>
      <c r="P106" s="27">
        <f t="shared" si="18"/>
        <v>0</v>
      </c>
      <c r="Q106" s="2"/>
    </row>
    <row r="107" spans="1:20" x14ac:dyDescent="0.3">
      <c r="A107" s="18" t="s">
        <v>102</v>
      </c>
      <c r="B107" s="34" t="s">
        <v>121</v>
      </c>
      <c r="C107" s="18"/>
      <c r="D107" s="123">
        <v>500</v>
      </c>
      <c r="E107" s="123">
        <v>500</v>
      </c>
      <c r="F107" s="124">
        <v>500</v>
      </c>
      <c r="G107" s="41">
        <f t="shared" si="19"/>
        <v>0</v>
      </c>
      <c r="H107" s="27">
        <f t="shared" si="20"/>
        <v>0</v>
      </c>
      <c r="I107" s="55" t="s">
        <v>250</v>
      </c>
      <c r="J107" s="18"/>
      <c r="K107" s="18"/>
      <c r="L107" s="123">
        <f>(L25)</f>
        <v>14000</v>
      </c>
      <c r="M107" s="123">
        <f>(M25)</f>
        <v>16000</v>
      </c>
      <c r="N107" s="124">
        <f>(N25)</f>
        <v>16000</v>
      </c>
      <c r="O107" s="41">
        <f t="shared" si="17"/>
        <v>0.14285714285714285</v>
      </c>
      <c r="P107" s="27">
        <f t="shared" si="18"/>
        <v>0</v>
      </c>
      <c r="Q107" s="2"/>
    </row>
    <row r="108" spans="1:20" x14ac:dyDescent="0.3">
      <c r="A108" s="18" t="s">
        <v>103</v>
      </c>
      <c r="B108" s="34" t="s">
        <v>122</v>
      </c>
      <c r="C108" s="18"/>
      <c r="D108" s="123">
        <v>0</v>
      </c>
      <c r="E108" s="123">
        <v>0</v>
      </c>
      <c r="F108" s="124">
        <v>0</v>
      </c>
      <c r="G108" s="41" t="e">
        <f t="shared" si="19"/>
        <v>#DIV/0!</v>
      </c>
      <c r="H108" s="27" t="e">
        <f t="shared" si="20"/>
        <v>#DIV/0!</v>
      </c>
      <c r="I108" s="55" t="s">
        <v>891</v>
      </c>
      <c r="J108" s="18"/>
      <c r="K108" s="18"/>
      <c r="L108" s="123"/>
      <c r="M108" s="123">
        <f>(M30)</f>
        <v>15000</v>
      </c>
      <c r="N108" s="124">
        <f>(N30)</f>
        <v>15000</v>
      </c>
      <c r="O108" s="41" t="e">
        <f t="shared" si="17"/>
        <v>#DIV/0!</v>
      </c>
      <c r="P108" s="27">
        <f t="shared" si="18"/>
        <v>0</v>
      </c>
      <c r="Q108" s="2"/>
    </row>
    <row r="109" spans="1:20" x14ac:dyDescent="0.3">
      <c r="A109" s="18" t="s">
        <v>104</v>
      </c>
      <c r="B109" s="34" t="s">
        <v>124</v>
      </c>
      <c r="C109" s="18"/>
      <c r="D109" s="123">
        <v>17500</v>
      </c>
      <c r="E109" s="123">
        <v>15000</v>
      </c>
      <c r="F109" s="124">
        <v>15000</v>
      </c>
      <c r="G109" s="41">
        <f t="shared" si="19"/>
        <v>-0.14285714285714285</v>
      </c>
      <c r="H109" s="27">
        <f t="shared" si="20"/>
        <v>0</v>
      </c>
      <c r="I109" s="55" t="s">
        <v>251</v>
      </c>
      <c r="J109" s="18"/>
      <c r="K109" s="18"/>
      <c r="L109" s="123">
        <f>(L57)</f>
        <v>0</v>
      </c>
      <c r="M109" s="123">
        <v>400000</v>
      </c>
      <c r="N109" s="124">
        <f>('Budget Request-Capital Projects'!F26)</f>
        <v>200000</v>
      </c>
      <c r="O109" s="41" t="e">
        <f t="shared" si="17"/>
        <v>#DIV/0!</v>
      </c>
      <c r="P109" s="27">
        <f t="shared" si="18"/>
        <v>-0.5</v>
      </c>
      <c r="Q109" s="2"/>
    </row>
    <row r="110" spans="1:20" x14ac:dyDescent="0.3">
      <c r="A110" s="18" t="s">
        <v>105</v>
      </c>
      <c r="B110" s="34" t="s">
        <v>125</v>
      </c>
      <c r="C110" s="18"/>
      <c r="D110" s="123">
        <v>12500</v>
      </c>
      <c r="E110" s="123">
        <v>13000</v>
      </c>
      <c r="F110" s="124">
        <v>13000</v>
      </c>
      <c r="G110" s="41">
        <f t="shared" si="19"/>
        <v>0.04</v>
      </c>
      <c r="H110" s="27">
        <f t="shared" si="20"/>
        <v>0</v>
      </c>
      <c r="I110" s="18"/>
      <c r="J110" s="24" t="s">
        <v>7</v>
      </c>
      <c r="K110" s="24"/>
      <c r="L110" s="125">
        <f>SUM(L91:L109)</f>
        <v>5186156.29</v>
      </c>
      <c r="M110" s="125">
        <f>SUM(M91:M109)</f>
        <v>5871881.4100000001</v>
      </c>
      <c r="N110" s="126">
        <f>SUM(N91:N109)</f>
        <v>5980904.4699999997</v>
      </c>
      <c r="O110" s="42">
        <f t="shared" si="17"/>
        <v>0.13222222425541288</v>
      </c>
      <c r="P110" s="29">
        <f t="shared" si="18"/>
        <v>1.8566972387134704E-2</v>
      </c>
      <c r="Q110" s="2"/>
    </row>
    <row r="111" spans="1:20" x14ac:dyDescent="0.3">
      <c r="A111" s="18" t="s">
        <v>106</v>
      </c>
      <c r="B111" s="34" t="s">
        <v>126</v>
      </c>
      <c r="C111" s="18"/>
      <c r="D111" s="123">
        <v>0</v>
      </c>
      <c r="E111" s="123">
        <v>0</v>
      </c>
      <c r="F111" s="124">
        <v>0</v>
      </c>
      <c r="G111" s="41" t="e">
        <f t="shared" si="19"/>
        <v>#DIV/0!</v>
      </c>
      <c r="H111" s="27" t="e">
        <f t="shared" si="20"/>
        <v>#DIV/0!</v>
      </c>
      <c r="Q111" s="8"/>
    </row>
    <row r="112" spans="1:20" x14ac:dyDescent="0.3">
      <c r="A112" s="18" t="s">
        <v>107</v>
      </c>
      <c r="B112" s="34" t="s">
        <v>127</v>
      </c>
      <c r="C112" s="18"/>
      <c r="D112" s="123">
        <v>1000</v>
      </c>
      <c r="E112" s="123">
        <v>1000</v>
      </c>
      <c r="F112" s="124">
        <v>0</v>
      </c>
      <c r="G112" s="41">
        <f t="shared" si="19"/>
        <v>0</v>
      </c>
      <c r="H112" s="27">
        <f t="shared" si="20"/>
        <v>-1</v>
      </c>
      <c r="I112" s="24" t="s">
        <v>253</v>
      </c>
      <c r="J112" s="18"/>
      <c r="K112" s="30"/>
      <c r="L112" s="18"/>
      <c r="M112" s="18"/>
      <c r="N112" s="18"/>
      <c r="O112" s="18"/>
      <c r="P112" s="18"/>
      <c r="Q112" s="2"/>
    </row>
    <row r="113" spans="1:17" x14ac:dyDescent="0.3">
      <c r="A113" s="18" t="s">
        <v>108</v>
      </c>
      <c r="B113" s="34" t="s">
        <v>128</v>
      </c>
      <c r="C113" s="18"/>
      <c r="D113" s="123">
        <v>3500</v>
      </c>
      <c r="E113" s="123">
        <v>3500</v>
      </c>
      <c r="F113" s="124">
        <v>3500</v>
      </c>
      <c r="G113" s="41">
        <f t="shared" si="19"/>
        <v>0</v>
      </c>
      <c r="H113" s="27">
        <f t="shared" si="20"/>
        <v>0</v>
      </c>
      <c r="I113" s="18"/>
      <c r="J113" s="18"/>
      <c r="K113" s="18"/>
      <c r="L113" s="22" t="s">
        <v>1</v>
      </c>
      <c r="M113" s="22" t="s">
        <v>901</v>
      </c>
      <c r="N113" s="23" t="s">
        <v>2</v>
      </c>
      <c r="O113" s="22" t="s">
        <v>3</v>
      </c>
      <c r="P113" s="23" t="s">
        <v>3</v>
      </c>
      <c r="Q113" s="3"/>
    </row>
    <row r="114" spans="1:17" x14ac:dyDescent="0.3">
      <c r="A114" s="18" t="s">
        <v>109</v>
      </c>
      <c r="B114" s="34" t="s">
        <v>129</v>
      </c>
      <c r="C114" s="18"/>
      <c r="D114" s="123">
        <v>10000</v>
      </c>
      <c r="E114" s="123">
        <v>15000</v>
      </c>
      <c r="F114" s="124">
        <v>15000</v>
      </c>
      <c r="G114" s="41">
        <f t="shared" si="19"/>
        <v>0.5</v>
      </c>
      <c r="H114" s="27">
        <f t="shared" si="20"/>
        <v>0</v>
      </c>
      <c r="I114" s="18"/>
      <c r="J114" s="18"/>
      <c r="K114" s="18"/>
      <c r="L114" s="22">
        <v>2022</v>
      </c>
      <c r="M114" s="22">
        <v>2023</v>
      </c>
      <c r="N114" s="23">
        <v>2024</v>
      </c>
      <c r="O114" s="22" t="s">
        <v>894</v>
      </c>
      <c r="P114" s="23" t="s">
        <v>902</v>
      </c>
    </row>
    <row r="115" spans="1:17" x14ac:dyDescent="0.3">
      <c r="A115" s="18" t="s">
        <v>110</v>
      </c>
      <c r="B115" s="34" t="s">
        <v>130</v>
      </c>
      <c r="C115" s="18"/>
      <c r="D115" s="123">
        <v>0</v>
      </c>
      <c r="E115" s="123">
        <v>0</v>
      </c>
      <c r="F115" s="124">
        <v>0</v>
      </c>
      <c r="G115" s="41" t="e">
        <f t="shared" si="19"/>
        <v>#DIV/0!</v>
      </c>
      <c r="H115" s="27" t="e">
        <f t="shared" si="20"/>
        <v>#DIV/0!</v>
      </c>
      <c r="I115" s="40" t="s">
        <v>254</v>
      </c>
      <c r="J115" s="18"/>
      <c r="K115" s="18"/>
      <c r="L115" s="123">
        <v>696156</v>
      </c>
      <c r="M115" s="123">
        <f>('Budget Request-General Gov''t'!N42)</f>
        <v>700035.35</v>
      </c>
      <c r="N115" s="124">
        <f>('Budget Request-General Gov''t'!O42)</f>
        <v>726508.54749999999</v>
      </c>
      <c r="O115" s="41">
        <f>(M115-L115)/L115</f>
        <v>5.5725297203500033E-3</v>
      </c>
      <c r="P115" s="27">
        <f>(N115-M115)/M115</f>
        <v>3.7816943815765891E-2</v>
      </c>
    </row>
    <row r="116" spans="1:17" x14ac:dyDescent="0.3">
      <c r="A116" s="18" t="s">
        <v>111</v>
      </c>
      <c r="B116" s="34" t="s">
        <v>132</v>
      </c>
      <c r="C116" s="18"/>
      <c r="D116" s="123">
        <v>0</v>
      </c>
      <c r="E116" s="123">
        <v>0</v>
      </c>
      <c r="F116" s="124">
        <v>0</v>
      </c>
      <c r="G116" s="41" t="e">
        <f t="shared" si="19"/>
        <v>#DIV/0!</v>
      </c>
      <c r="H116" s="27" t="e">
        <f t="shared" si="20"/>
        <v>#DIV/0!</v>
      </c>
      <c r="I116" s="40" t="s">
        <v>255</v>
      </c>
      <c r="J116" s="18"/>
      <c r="K116" s="18"/>
      <c r="L116" s="123">
        <v>1212443</v>
      </c>
      <c r="M116" s="123">
        <f>('Budget Request-Public Safety'!E82)</f>
        <v>1251453</v>
      </c>
      <c r="N116" s="124">
        <f>('Budget Request-Public Safety'!F82)</f>
        <v>1219497.5</v>
      </c>
      <c r="O116" s="41">
        <f t="shared" ref="O116:O129" si="21">(M116-L116)/L116</f>
        <v>3.217470841928239E-2</v>
      </c>
      <c r="P116" s="27">
        <f t="shared" ref="P116:P129" si="22">(N116-M116)/M116</f>
        <v>-2.5534718443281531E-2</v>
      </c>
    </row>
    <row r="117" spans="1:17" x14ac:dyDescent="0.3">
      <c r="A117" s="18"/>
      <c r="B117" s="24" t="s">
        <v>7</v>
      </c>
      <c r="C117" s="24"/>
      <c r="D117" s="125">
        <f>SUM(D96:D116)</f>
        <v>67725</v>
      </c>
      <c r="E117" s="125">
        <f>SUM(E96:E116)</f>
        <v>70250</v>
      </c>
      <c r="F117" s="126">
        <f>SUM(F96:F116)</f>
        <v>66050</v>
      </c>
      <c r="G117" s="42">
        <f t="shared" si="19"/>
        <v>3.7283130306386122E-2</v>
      </c>
      <c r="H117" s="29">
        <f t="shared" si="20"/>
        <v>-5.9786476868327401E-2</v>
      </c>
      <c r="I117" s="40" t="s">
        <v>256</v>
      </c>
      <c r="J117" s="18"/>
      <c r="K117" s="18"/>
      <c r="L117" s="123">
        <v>842832</v>
      </c>
      <c r="M117" s="123">
        <f>('Budget Request-Public Works'!N30)</f>
        <v>780757.25</v>
      </c>
      <c r="N117" s="124">
        <f>('Budget Request-Public Works'!O30)</f>
        <v>814061.5</v>
      </c>
      <c r="O117" s="41">
        <f t="shared" si="21"/>
        <v>-7.3650205497655524E-2</v>
      </c>
      <c r="P117" s="27">
        <f t="shared" si="22"/>
        <v>4.2656344209419765E-2</v>
      </c>
    </row>
    <row r="118" spans="1:17" x14ac:dyDescent="0.3">
      <c r="I118" s="40" t="s">
        <v>257</v>
      </c>
      <c r="J118" s="18"/>
      <c r="K118" s="18"/>
      <c r="L118" s="123">
        <v>28919</v>
      </c>
      <c r="M118" s="123">
        <f>('Budget Request-HHS'!E14)</f>
        <v>29320</v>
      </c>
      <c r="N118" s="124">
        <f>('Budget Request-HHS'!F14)</f>
        <v>29320</v>
      </c>
      <c r="O118" s="41">
        <f t="shared" si="21"/>
        <v>1.3866316262664683E-2</v>
      </c>
      <c r="P118" s="27">
        <f t="shared" si="22"/>
        <v>0</v>
      </c>
    </row>
    <row r="119" spans="1:17" x14ac:dyDescent="0.3">
      <c r="E119" s="48"/>
      <c r="I119" s="40" t="s">
        <v>258</v>
      </c>
      <c r="J119" s="18"/>
      <c r="K119" s="18"/>
      <c r="L119" s="123">
        <v>180470</v>
      </c>
      <c r="M119" s="123">
        <f>('Budget Request-Culture, Rec, Ed'!F64)</f>
        <v>204998.75</v>
      </c>
      <c r="N119" s="124">
        <f>('Budget Request-Culture, Rec, Ed'!G64)</f>
        <v>216036.25</v>
      </c>
      <c r="O119" s="41">
        <f t="shared" si="21"/>
        <v>0.13591594170776305</v>
      </c>
      <c r="P119" s="27">
        <f t="shared" si="22"/>
        <v>5.3841791718242181E-2</v>
      </c>
    </row>
    <row r="120" spans="1:17" x14ac:dyDescent="0.3">
      <c r="I120" s="40" t="s">
        <v>259</v>
      </c>
      <c r="J120" s="18"/>
      <c r="K120" s="18"/>
      <c r="L120" s="123">
        <v>561725</v>
      </c>
      <c r="M120" s="123">
        <f>('Budget Request-Debt Service'!E19)</f>
        <v>602945</v>
      </c>
      <c r="N120" s="124">
        <f>('Budget Request-Debt Service'!F19)</f>
        <v>630000</v>
      </c>
      <c r="O120" s="41">
        <f t="shared" si="21"/>
        <v>7.3381102852819444E-2</v>
      </c>
      <c r="P120" s="27">
        <f t="shared" si="22"/>
        <v>4.4871422766587336E-2</v>
      </c>
    </row>
    <row r="121" spans="1:17" x14ac:dyDescent="0.3">
      <c r="A121" s="24" t="s">
        <v>133</v>
      </c>
      <c r="B121" s="18"/>
      <c r="C121" s="18"/>
      <c r="D121" s="18"/>
      <c r="E121" s="18"/>
      <c r="F121" s="18"/>
      <c r="G121" s="18"/>
      <c r="H121" s="18"/>
      <c r="I121" s="40" t="s">
        <v>246</v>
      </c>
      <c r="J121" s="18"/>
      <c r="K121" s="18"/>
      <c r="L121" s="123">
        <v>445000</v>
      </c>
      <c r="M121" s="123">
        <f>(M7)</f>
        <v>455000</v>
      </c>
      <c r="N121" s="124">
        <f>(N7)</f>
        <v>445000</v>
      </c>
      <c r="O121" s="41">
        <f t="shared" si="21"/>
        <v>2.247191011235955E-2</v>
      </c>
      <c r="P121" s="27">
        <f t="shared" si="22"/>
        <v>-2.197802197802198E-2</v>
      </c>
    </row>
    <row r="122" spans="1:17" x14ac:dyDescent="0.3">
      <c r="A122" s="18"/>
      <c r="B122" s="18"/>
      <c r="C122" s="18"/>
      <c r="D122" s="18"/>
      <c r="E122" s="18"/>
      <c r="F122" s="18"/>
      <c r="G122" s="18"/>
      <c r="H122" s="18"/>
      <c r="I122" s="40" t="s">
        <v>245</v>
      </c>
      <c r="J122" s="18"/>
      <c r="K122" s="18"/>
      <c r="L122" s="123">
        <v>805250</v>
      </c>
      <c r="M122" s="123">
        <f>('Budget Request-Sewer 620'!F41)</f>
        <v>817250</v>
      </c>
      <c r="N122" s="124">
        <f>('Budget Request-Sewer 620'!G41)</f>
        <v>769250</v>
      </c>
      <c r="O122" s="41">
        <f t="shared" si="21"/>
        <v>1.4902204284383732E-2</v>
      </c>
      <c r="P122" s="27">
        <f t="shared" si="22"/>
        <v>-5.873355766289385E-2</v>
      </c>
    </row>
    <row r="123" spans="1:17" x14ac:dyDescent="0.3">
      <c r="A123" s="18"/>
      <c r="B123" s="18"/>
      <c r="C123" s="18"/>
      <c r="D123" s="22" t="s">
        <v>1</v>
      </c>
      <c r="E123" s="22" t="s">
        <v>901</v>
      </c>
      <c r="F123" s="23" t="s">
        <v>2</v>
      </c>
      <c r="G123" s="22" t="s">
        <v>3</v>
      </c>
      <c r="H123" s="23" t="s">
        <v>3</v>
      </c>
      <c r="I123" s="40" t="s">
        <v>244</v>
      </c>
      <c r="J123" s="18"/>
      <c r="K123" s="18"/>
      <c r="L123" s="123">
        <v>552050</v>
      </c>
      <c r="M123" s="123">
        <f>('Budget Request-Water 610'!F53)</f>
        <v>571100</v>
      </c>
      <c r="N123" s="124">
        <f>('Budget Request-Water 610'!G53)</f>
        <v>539950</v>
      </c>
      <c r="O123" s="41">
        <f t="shared" si="21"/>
        <v>3.4507743863780457E-2</v>
      </c>
      <c r="P123" s="27">
        <f t="shared" si="22"/>
        <v>-5.4543862721064609E-2</v>
      </c>
    </row>
    <row r="124" spans="1:17" x14ac:dyDescent="0.3">
      <c r="A124" s="18"/>
      <c r="B124" s="18"/>
      <c r="C124" s="18"/>
      <c r="D124" s="22">
        <v>2022</v>
      </c>
      <c r="E124" s="22">
        <v>2023</v>
      </c>
      <c r="F124" s="23">
        <v>2024</v>
      </c>
      <c r="G124" s="22" t="s">
        <v>894</v>
      </c>
      <c r="H124" s="23" t="s">
        <v>902</v>
      </c>
      <c r="I124" s="40" t="s">
        <v>248</v>
      </c>
      <c r="J124" s="18"/>
      <c r="K124" s="18"/>
      <c r="L124" s="123">
        <v>235000</v>
      </c>
      <c r="M124" s="123">
        <f>('Budget Request-TID #6'!E22)</f>
        <v>314202.34999999998</v>
      </c>
      <c r="N124" s="124">
        <f>('Budget Request-TID #6'!F22)</f>
        <v>314750</v>
      </c>
      <c r="O124" s="41">
        <f t="shared" si="21"/>
        <v>0.33703127659574456</v>
      </c>
      <c r="P124" s="27">
        <f t="shared" si="22"/>
        <v>1.7429850540583904E-3</v>
      </c>
    </row>
    <row r="125" spans="1:17" x14ac:dyDescent="0.3">
      <c r="A125" s="18" t="s">
        <v>134</v>
      </c>
      <c r="B125" s="34" t="s">
        <v>139</v>
      </c>
      <c r="C125" s="18"/>
      <c r="D125" s="123">
        <v>3000</v>
      </c>
      <c r="E125" s="123">
        <v>3000</v>
      </c>
      <c r="F125" s="124">
        <v>3000</v>
      </c>
      <c r="G125" s="41">
        <f>(E125-D125)/D125</f>
        <v>0</v>
      </c>
      <c r="H125" s="27">
        <f>(F125-E125)/E125</f>
        <v>0</v>
      </c>
      <c r="I125" s="40" t="s">
        <v>249</v>
      </c>
      <c r="J125" s="18"/>
      <c r="K125" s="18"/>
      <c r="L125" s="123">
        <v>28500</v>
      </c>
      <c r="M125" s="123">
        <f>('Budget Request-TID #7'!E23)</f>
        <v>26000</v>
      </c>
      <c r="N125" s="124">
        <f>('Budget Request-TID #7'!F23)</f>
        <v>18500</v>
      </c>
      <c r="O125" s="41">
        <f t="shared" si="21"/>
        <v>-8.771929824561403E-2</v>
      </c>
      <c r="P125" s="27">
        <f t="shared" si="22"/>
        <v>-0.28846153846153844</v>
      </c>
    </row>
    <row r="126" spans="1:17" x14ac:dyDescent="0.3">
      <c r="A126" s="18" t="s">
        <v>135</v>
      </c>
      <c r="B126" s="34" t="s">
        <v>140</v>
      </c>
      <c r="C126" s="18"/>
      <c r="D126" s="123">
        <v>170000</v>
      </c>
      <c r="E126" s="123">
        <v>170000</v>
      </c>
      <c r="F126" s="124">
        <v>170000</v>
      </c>
      <c r="G126" s="41">
        <f>(E126-D126)/D126</f>
        <v>0</v>
      </c>
      <c r="H126" s="27">
        <f t="shared" ref="H126:H130" si="23">(F126-E126)/E126</f>
        <v>0</v>
      </c>
      <c r="I126" s="40" t="s">
        <v>260</v>
      </c>
      <c r="J126" s="18"/>
      <c r="K126" s="18"/>
      <c r="L126" s="123">
        <v>79300</v>
      </c>
      <c r="M126" s="123">
        <f>('Budget Request-TID #8'!E16)</f>
        <v>40550</v>
      </c>
      <c r="N126" s="124">
        <f>('Budget Request-TID #8'!F16)</f>
        <v>40550</v>
      </c>
      <c r="O126" s="41">
        <f t="shared" si="21"/>
        <v>-0.48865069356872637</v>
      </c>
      <c r="P126" s="27">
        <f t="shared" si="22"/>
        <v>0</v>
      </c>
    </row>
    <row r="127" spans="1:17" x14ac:dyDescent="0.3">
      <c r="A127" s="18" t="s">
        <v>136</v>
      </c>
      <c r="B127" s="34" t="s">
        <v>141</v>
      </c>
      <c r="C127" s="18"/>
      <c r="D127" s="123">
        <v>0</v>
      </c>
      <c r="E127" s="123">
        <v>0</v>
      </c>
      <c r="F127" s="124">
        <v>0</v>
      </c>
      <c r="G127" s="41" t="e">
        <f>(E127-D127)/D127</f>
        <v>#DIV/0!</v>
      </c>
      <c r="H127" s="27" t="e">
        <f t="shared" si="23"/>
        <v>#DIV/0!</v>
      </c>
      <c r="I127" s="55" t="s">
        <v>891</v>
      </c>
      <c r="J127" s="18"/>
      <c r="K127" s="18"/>
      <c r="L127" s="123">
        <v>7500</v>
      </c>
      <c r="M127" s="123">
        <f>('Budget Request-TID #9'!F14)</f>
        <v>7500</v>
      </c>
      <c r="N127" s="124">
        <f>('Budget Request-TID #9'!G14)</f>
        <v>5000</v>
      </c>
      <c r="O127" s="41">
        <f t="shared" si="21"/>
        <v>0</v>
      </c>
      <c r="P127" s="27">
        <f t="shared" si="22"/>
        <v>-0.33333333333333331</v>
      </c>
    </row>
    <row r="128" spans="1:17" x14ac:dyDescent="0.3">
      <c r="A128" s="18" t="s">
        <v>137</v>
      </c>
      <c r="B128" s="34" t="s">
        <v>142</v>
      </c>
      <c r="C128" s="18"/>
      <c r="D128" s="123">
        <v>18000</v>
      </c>
      <c r="E128" s="123">
        <v>18000</v>
      </c>
      <c r="F128" s="124">
        <v>18000</v>
      </c>
      <c r="G128" s="41">
        <f>(E128-D128)/D128</f>
        <v>0</v>
      </c>
      <c r="H128" s="27">
        <f t="shared" si="23"/>
        <v>0</v>
      </c>
      <c r="I128" s="40" t="s">
        <v>251</v>
      </c>
      <c r="J128" s="18"/>
      <c r="K128" s="18"/>
      <c r="L128" s="123">
        <v>225000</v>
      </c>
      <c r="M128" s="123">
        <f>('Budget Request-Capital Projects'!E26)</f>
        <v>125000</v>
      </c>
      <c r="N128" s="124">
        <f>('Budget Request-Capital Projects'!F26)</f>
        <v>200000</v>
      </c>
      <c r="O128" s="41">
        <f t="shared" si="21"/>
        <v>-0.44444444444444442</v>
      </c>
      <c r="P128" s="27">
        <f t="shared" si="22"/>
        <v>0.6</v>
      </c>
    </row>
    <row r="129" spans="1:16" x14ac:dyDescent="0.3">
      <c r="A129" s="18" t="s">
        <v>138</v>
      </c>
      <c r="B129" s="34" t="s">
        <v>143</v>
      </c>
      <c r="C129" s="18"/>
      <c r="D129" s="123">
        <v>6000</v>
      </c>
      <c r="E129" s="123">
        <v>6000</v>
      </c>
      <c r="F129" s="124">
        <v>6000</v>
      </c>
      <c r="G129" s="41">
        <f>(E129-D129)/D129</f>
        <v>0</v>
      </c>
      <c r="H129" s="27">
        <f t="shared" si="23"/>
        <v>0</v>
      </c>
      <c r="I129" s="18"/>
      <c r="J129" s="24" t="s">
        <v>7</v>
      </c>
      <c r="K129" s="18"/>
      <c r="L129" s="125">
        <f>SUM(L115:L128)</f>
        <v>5900145</v>
      </c>
      <c r="M129" s="125">
        <f>SUM(M115:M128)</f>
        <v>5926111.6999999993</v>
      </c>
      <c r="N129" s="126">
        <f>SUM(N115:N128)</f>
        <v>5968423.7974999994</v>
      </c>
      <c r="O129" s="42">
        <f t="shared" si="21"/>
        <v>4.4010274323765357E-3</v>
      </c>
      <c r="P129" s="29">
        <f t="shared" si="22"/>
        <v>7.1399426203863411E-3</v>
      </c>
    </row>
    <row r="130" spans="1:16" x14ac:dyDescent="0.3">
      <c r="A130" s="18"/>
      <c r="B130" s="24" t="s">
        <v>7</v>
      </c>
      <c r="C130" s="24"/>
      <c r="D130" s="125">
        <f>SUM(D125:D129)</f>
        <v>197000</v>
      </c>
      <c r="E130" s="125">
        <f>SUM(E125:E129)</f>
        <v>197000</v>
      </c>
      <c r="F130" s="126">
        <f>SUM(F125:F129)</f>
        <v>197000</v>
      </c>
      <c r="G130" s="42">
        <f>(E130-D130)/D130</f>
        <v>0</v>
      </c>
      <c r="H130" s="27">
        <f t="shared" si="23"/>
        <v>0</v>
      </c>
    </row>
    <row r="132" spans="1:16" x14ac:dyDescent="0.3">
      <c r="E132" s="6" t="s">
        <v>865</v>
      </c>
      <c r="M132" s="6" t="s">
        <v>869</v>
      </c>
    </row>
    <row r="136" spans="1:16" x14ac:dyDescent="0.3">
      <c r="M136" s="4"/>
    </row>
    <row r="137" spans="1:16" x14ac:dyDescent="0.3">
      <c r="D137" s="6"/>
      <c r="L137" s="6"/>
    </row>
    <row r="139" spans="1:16" x14ac:dyDescent="0.3">
      <c r="A139" s="24" t="s">
        <v>144</v>
      </c>
      <c r="B139" s="18"/>
      <c r="C139" s="18"/>
      <c r="D139" s="22" t="s">
        <v>1</v>
      </c>
      <c r="E139" s="22" t="s">
        <v>901</v>
      </c>
      <c r="F139" s="23" t="s">
        <v>2</v>
      </c>
      <c r="G139" s="22" t="s">
        <v>3</v>
      </c>
      <c r="H139" s="23" t="s">
        <v>3</v>
      </c>
    </row>
    <row r="140" spans="1:16" x14ac:dyDescent="0.3">
      <c r="A140" s="18"/>
      <c r="B140" s="18"/>
      <c r="C140" s="18"/>
      <c r="D140" s="22">
        <v>2022</v>
      </c>
      <c r="E140" s="22">
        <v>2023</v>
      </c>
      <c r="F140" s="23">
        <v>2024</v>
      </c>
      <c r="G140" s="22" t="s">
        <v>894</v>
      </c>
      <c r="H140" s="23" t="s">
        <v>902</v>
      </c>
      <c r="K140" s="1"/>
      <c r="L140" s="1"/>
    </row>
    <row r="141" spans="1:16" x14ac:dyDescent="0.3">
      <c r="A141" s="18" t="s">
        <v>145</v>
      </c>
      <c r="B141" s="34" t="s">
        <v>161</v>
      </c>
      <c r="C141" s="18"/>
      <c r="D141" s="123">
        <v>25000</v>
      </c>
      <c r="E141" s="123">
        <v>25000</v>
      </c>
      <c r="F141" s="124">
        <v>0</v>
      </c>
      <c r="G141" s="41">
        <f>(E141-D141)/D141</f>
        <v>0</v>
      </c>
      <c r="H141" s="27">
        <f>(F141-E141)/E141</f>
        <v>-1</v>
      </c>
    </row>
    <row r="142" spans="1:16" x14ac:dyDescent="0.3">
      <c r="A142" s="18" t="s">
        <v>146</v>
      </c>
      <c r="B142" s="34" t="s">
        <v>162</v>
      </c>
      <c r="C142" s="18"/>
      <c r="D142" s="123">
        <v>0</v>
      </c>
      <c r="E142" s="123">
        <v>0</v>
      </c>
      <c r="F142" s="124">
        <v>0</v>
      </c>
      <c r="G142" s="41" t="e">
        <f t="shared" ref="G142:G159" si="24">(E142-D142)/D142</f>
        <v>#DIV/0!</v>
      </c>
      <c r="H142" s="27" t="e">
        <f t="shared" ref="H142:H159" si="25">(F142-E142)/E142</f>
        <v>#DIV/0!</v>
      </c>
    </row>
    <row r="143" spans="1:16" x14ac:dyDescent="0.3">
      <c r="A143" s="18" t="s">
        <v>147</v>
      </c>
      <c r="B143" s="34" t="s">
        <v>163</v>
      </c>
      <c r="C143" s="18"/>
      <c r="D143" s="123">
        <v>500</v>
      </c>
      <c r="E143" s="123">
        <v>100</v>
      </c>
      <c r="F143" s="124">
        <v>0</v>
      </c>
      <c r="G143" s="41">
        <f t="shared" si="24"/>
        <v>-0.8</v>
      </c>
      <c r="H143" s="27">
        <f t="shared" si="25"/>
        <v>-1</v>
      </c>
    </row>
    <row r="144" spans="1:16" x14ac:dyDescent="0.3">
      <c r="A144" s="18" t="s">
        <v>148</v>
      </c>
      <c r="B144" s="34" t="s">
        <v>164</v>
      </c>
      <c r="C144" s="18"/>
      <c r="D144" s="123">
        <v>1200</v>
      </c>
      <c r="E144" s="123">
        <v>1200</v>
      </c>
      <c r="F144" s="124">
        <v>1200</v>
      </c>
      <c r="G144" s="41">
        <f t="shared" si="24"/>
        <v>0</v>
      </c>
      <c r="H144" s="27">
        <f t="shared" si="25"/>
        <v>0</v>
      </c>
    </row>
    <row r="145" spans="1:23" x14ac:dyDescent="0.3">
      <c r="A145" s="18" t="s">
        <v>149</v>
      </c>
      <c r="B145" s="34" t="s">
        <v>165</v>
      </c>
      <c r="C145" s="18"/>
      <c r="D145" s="123">
        <v>0</v>
      </c>
      <c r="E145" s="123">
        <v>0</v>
      </c>
      <c r="F145" s="124">
        <v>0</v>
      </c>
      <c r="G145" s="41" t="e">
        <f t="shared" si="24"/>
        <v>#DIV/0!</v>
      </c>
      <c r="H145" s="27" t="e">
        <f t="shared" si="25"/>
        <v>#DIV/0!</v>
      </c>
    </row>
    <row r="146" spans="1:23" x14ac:dyDescent="0.3">
      <c r="A146" s="18" t="s">
        <v>792</v>
      </c>
      <c r="B146" s="34" t="s">
        <v>793</v>
      </c>
      <c r="C146" s="18"/>
      <c r="D146" s="123">
        <v>12000</v>
      </c>
      <c r="E146" s="123">
        <v>12000</v>
      </c>
      <c r="F146" s="124">
        <v>12000</v>
      </c>
      <c r="G146" s="41">
        <f t="shared" si="24"/>
        <v>0</v>
      </c>
      <c r="H146" s="27">
        <f t="shared" si="25"/>
        <v>0</v>
      </c>
    </row>
    <row r="147" spans="1:23" x14ac:dyDescent="0.3">
      <c r="A147" s="18" t="s">
        <v>150</v>
      </c>
      <c r="B147" s="34" t="s">
        <v>166</v>
      </c>
      <c r="C147" s="18"/>
      <c r="D147" s="123">
        <v>69000</v>
      </c>
      <c r="E147" s="123">
        <v>39500</v>
      </c>
      <c r="F147" s="124">
        <v>40000</v>
      </c>
      <c r="G147" s="41">
        <f t="shared" si="24"/>
        <v>-0.42753623188405798</v>
      </c>
      <c r="H147" s="27">
        <f t="shared" si="25"/>
        <v>1.2658227848101266E-2</v>
      </c>
    </row>
    <row r="148" spans="1:23" x14ac:dyDescent="0.3">
      <c r="A148" s="18" t="s">
        <v>151</v>
      </c>
      <c r="B148" s="34" t="s">
        <v>791</v>
      </c>
      <c r="C148" s="18"/>
      <c r="D148" s="123">
        <v>0</v>
      </c>
      <c r="E148" s="123">
        <v>0</v>
      </c>
      <c r="F148" s="124">
        <v>0</v>
      </c>
      <c r="G148" s="41" t="e">
        <f t="shared" si="24"/>
        <v>#DIV/0!</v>
      </c>
      <c r="H148" s="27" t="e">
        <f t="shared" si="25"/>
        <v>#DIV/0!</v>
      </c>
    </row>
    <row r="149" spans="1:23" x14ac:dyDescent="0.3">
      <c r="A149" s="18" t="s">
        <v>152</v>
      </c>
      <c r="B149" s="34" t="s">
        <v>167</v>
      </c>
      <c r="C149" s="18"/>
      <c r="D149" s="123">
        <v>0</v>
      </c>
      <c r="E149" s="123">
        <v>0</v>
      </c>
      <c r="F149" s="124">
        <v>0</v>
      </c>
      <c r="G149" s="41" t="e">
        <f t="shared" si="24"/>
        <v>#DIV/0!</v>
      </c>
      <c r="H149" s="27" t="e">
        <f t="shared" si="25"/>
        <v>#DIV/0!</v>
      </c>
    </row>
    <row r="150" spans="1:23" x14ac:dyDescent="0.3">
      <c r="A150" s="18" t="s">
        <v>153</v>
      </c>
      <c r="B150" s="34" t="s">
        <v>168</v>
      </c>
      <c r="C150" s="18"/>
      <c r="D150" s="123">
        <v>0</v>
      </c>
      <c r="E150" s="123">
        <v>0</v>
      </c>
      <c r="F150" s="124">
        <v>0</v>
      </c>
      <c r="G150" s="41" t="e">
        <f t="shared" si="24"/>
        <v>#DIV/0!</v>
      </c>
      <c r="H150" s="27" t="e">
        <f t="shared" si="25"/>
        <v>#DIV/0!</v>
      </c>
    </row>
    <row r="151" spans="1:23" x14ac:dyDescent="0.3">
      <c r="A151" s="18" t="s">
        <v>154</v>
      </c>
      <c r="B151" s="34" t="s">
        <v>169</v>
      </c>
      <c r="C151" s="18"/>
      <c r="D151" s="123">
        <v>0</v>
      </c>
      <c r="E151" s="123">
        <v>0</v>
      </c>
      <c r="F151" s="124">
        <v>0</v>
      </c>
      <c r="G151" s="41" t="e">
        <f t="shared" si="24"/>
        <v>#DIV/0!</v>
      </c>
      <c r="H151" s="27" t="e">
        <f t="shared" si="25"/>
        <v>#DIV/0!</v>
      </c>
    </row>
    <row r="152" spans="1:23" x14ac:dyDescent="0.3">
      <c r="A152" s="18" t="s">
        <v>155</v>
      </c>
      <c r="B152" s="34" t="s">
        <v>170</v>
      </c>
      <c r="C152" s="18"/>
      <c r="D152" s="123">
        <v>0</v>
      </c>
      <c r="E152" s="123">
        <v>0</v>
      </c>
      <c r="F152" s="124">
        <v>0</v>
      </c>
      <c r="G152" s="41" t="e">
        <f t="shared" si="24"/>
        <v>#DIV/0!</v>
      </c>
      <c r="H152" s="27" t="e">
        <f t="shared" si="25"/>
        <v>#DIV/0!</v>
      </c>
    </row>
    <row r="153" spans="1:23" x14ac:dyDescent="0.3">
      <c r="A153" s="18" t="s">
        <v>156</v>
      </c>
      <c r="B153" s="34" t="s">
        <v>171</v>
      </c>
      <c r="C153" s="18"/>
      <c r="D153" s="123">
        <v>0</v>
      </c>
      <c r="E153" s="123">
        <v>0</v>
      </c>
      <c r="F153" s="124">
        <v>0</v>
      </c>
      <c r="G153" s="41" t="e">
        <f t="shared" si="24"/>
        <v>#DIV/0!</v>
      </c>
      <c r="H153" s="27" t="e">
        <f t="shared" si="25"/>
        <v>#DIV/0!</v>
      </c>
    </row>
    <row r="154" spans="1:23" x14ac:dyDescent="0.3">
      <c r="A154" s="18" t="s">
        <v>157</v>
      </c>
      <c r="B154" s="34" t="s">
        <v>172</v>
      </c>
      <c r="C154" s="18"/>
      <c r="D154" s="123">
        <v>0</v>
      </c>
      <c r="E154" s="123">
        <v>0</v>
      </c>
      <c r="F154" s="124">
        <v>0</v>
      </c>
      <c r="G154" s="41" t="e">
        <f t="shared" si="24"/>
        <v>#DIV/0!</v>
      </c>
      <c r="H154" s="27" t="e">
        <f t="shared" si="25"/>
        <v>#DIV/0!</v>
      </c>
    </row>
    <row r="155" spans="1:23" x14ac:dyDescent="0.3">
      <c r="A155" s="18" t="s">
        <v>158</v>
      </c>
      <c r="B155" s="34" t="s">
        <v>173</v>
      </c>
      <c r="C155" s="18"/>
      <c r="D155" s="123">
        <v>750</v>
      </c>
      <c r="E155" s="123">
        <v>750</v>
      </c>
      <c r="F155" s="124">
        <v>750</v>
      </c>
      <c r="G155" s="41">
        <f t="shared" si="24"/>
        <v>0</v>
      </c>
      <c r="H155" s="27">
        <f t="shared" si="25"/>
        <v>0</v>
      </c>
    </row>
    <row r="156" spans="1:23" x14ac:dyDescent="0.3">
      <c r="A156" s="18" t="s">
        <v>159</v>
      </c>
      <c r="B156" s="34" t="s">
        <v>174</v>
      </c>
      <c r="C156" s="18"/>
      <c r="D156" s="123">
        <v>0</v>
      </c>
      <c r="E156" s="123">
        <v>0</v>
      </c>
      <c r="F156" s="124">
        <v>0</v>
      </c>
      <c r="G156" s="41" t="e">
        <f t="shared" si="24"/>
        <v>#DIV/0!</v>
      </c>
      <c r="H156" s="27" t="e">
        <f t="shared" si="25"/>
        <v>#DIV/0!</v>
      </c>
    </row>
    <row r="157" spans="1:23" x14ac:dyDescent="0.3">
      <c r="A157" s="18" t="s">
        <v>160</v>
      </c>
      <c r="B157" s="34" t="s">
        <v>175</v>
      </c>
      <c r="C157" s="18"/>
      <c r="D157" s="123">
        <v>38000</v>
      </c>
      <c r="E157" s="123">
        <v>38000</v>
      </c>
      <c r="F157" s="124">
        <v>38000</v>
      </c>
      <c r="G157" s="41">
        <f t="shared" si="24"/>
        <v>0</v>
      </c>
      <c r="H157" s="27">
        <f t="shared" si="25"/>
        <v>0</v>
      </c>
    </row>
    <row r="158" spans="1:23" x14ac:dyDescent="0.3">
      <c r="A158" s="18" t="s">
        <v>794</v>
      </c>
      <c r="B158" s="34" t="s">
        <v>795</v>
      </c>
      <c r="C158" s="18"/>
      <c r="D158" s="123">
        <v>0</v>
      </c>
      <c r="E158" s="123">
        <v>0</v>
      </c>
      <c r="F158" s="124">
        <v>0</v>
      </c>
      <c r="G158" s="41" t="e">
        <f t="shared" si="24"/>
        <v>#DIV/0!</v>
      </c>
      <c r="H158" s="27" t="e">
        <f t="shared" si="25"/>
        <v>#DIV/0!</v>
      </c>
    </row>
    <row r="159" spans="1:23" x14ac:dyDescent="0.3">
      <c r="A159" s="18"/>
      <c r="B159" s="24" t="s">
        <v>7</v>
      </c>
      <c r="C159" s="24"/>
      <c r="D159" s="125">
        <f>SUM(D141:D158)</f>
        <v>146450</v>
      </c>
      <c r="E159" s="125">
        <f>SUM(E141:E158)</f>
        <v>116550</v>
      </c>
      <c r="F159" s="126">
        <f>SUM(F141:F158)</f>
        <v>91950</v>
      </c>
      <c r="G159" s="42">
        <f t="shared" si="24"/>
        <v>-0.20416524411061795</v>
      </c>
      <c r="H159" s="29">
        <f t="shared" si="25"/>
        <v>-0.21106821106821108</v>
      </c>
      <c r="M159" s="7"/>
      <c r="Q159" s="4"/>
      <c r="R159" s="4"/>
      <c r="S159" s="4"/>
      <c r="T159" s="4"/>
      <c r="V159" s="5"/>
      <c r="W159" s="2"/>
    </row>
    <row r="160" spans="1:23" x14ac:dyDescent="0.3">
      <c r="F160" s="67"/>
      <c r="M160" s="7"/>
      <c r="Q160" s="4"/>
      <c r="R160" s="4"/>
      <c r="S160" s="4"/>
      <c r="T160" s="4"/>
      <c r="V160" s="5"/>
      <c r="W160" s="2"/>
    </row>
    <row r="161" spans="1:24" x14ac:dyDescent="0.3">
      <c r="E161" s="4"/>
      <c r="G161" s="4"/>
      <c r="H161" s="4"/>
      <c r="J161" s="5"/>
      <c r="K161" s="2"/>
      <c r="Q161" s="4"/>
      <c r="R161" s="4"/>
      <c r="S161" s="4"/>
      <c r="T161" s="4"/>
      <c r="V161" s="5"/>
      <c r="W161" s="2"/>
    </row>
    <row r="162" spans="1:24" x14ac:dyDescent="0.3">
      <c r="E162" s="48">
        <f>E159+E130+E117+E75+E65+E43+E29+E22+E12</f>
        <v>3556931.41</v>
      </c>
      <c r="F162" s="48">
        <f>F159+F130+F117+F75+F65+F43+F29+F22+F12</f>
        <v>3868349.4699999997</v>
      </c>
      <c r="G162" s="4"/>
      <c r="H162" s="4"/>
      <c r="J162" s="5"/>
      <c r="K162" s="2"/>
    </row>
    <row r="163" spans="1:24" x14ac:dyDescent="0.3">
      <c r="E163" s="4"/>
    </row>
    <row r="164" spans="1:24" x14ac:dyDescent="0.3">
      <c r="E164" s="4"/>
      <c r="F164" s="49"/>
    </row>
    <row r="165" spans="1:24" x14ac:dyDescent="0.3">
      <c r="E165" s="4"/>
      <c r="F165" s="4"/>
    </row>
    <row r="166" spans="1:24" x14ac:dyDescent="0.3">
      <c r="E166" s="4"/>
      <c r="F166" s="4"/>
    </row>
    <row r="167" spans="1:24" x14ac:dyDescent="0.3">
      <c r="A167" s="6"/>
      <c r="D167" s="1"/>
      <c r="E167" s="1"/>
      <c r="F167" s="1"/>
    </row>
    <row r="168" spans="1:24" x14ac:dyDescent="0.3">
      <c r="D168" s="1"/>
      <c r="E168" s="1"/>
      <c r="F168" s="1"/>
    </row>
    <row r="169" spans="1:24" x14ac:dyDescent="0.3">
      <c r="E169" s="4"/>
      <c r="F169" s="4"/>
    </row>
    <row r="170" spans="1:24" x14ac:dyDescent="0.3">
      <c r="E170" s="4"/>
      <c r="F170" s="4"/>
    </row>
    <row r="171" spans="1:24" x14ac:dyDescent="0.3">
      <c r="E171" s="4"/>
      <c r="F171" s="4"/>
    </row>
    <row r="172" spans="1:24" x14ac:dyDescent="0.3">
      <c r="A172" s="6"/>
    </row>
    <row r="173" spans="1:24" x14ac:dyDescent="0.3">
      <c r="A173" s="6"/>
      <c r="D173" s="1"/>
      <c r="E173" s="1"/>
      <c r="F173" s="1"/>
      <c r="R173" s="1"/>
      <c r="S173" s="1"/>
      <c r="T173" s="1"/>
      <c r="U173" s="1"/>
      <c r="V173" s="1"/>
      <c r="W173" s="1"/>
      <c r="X173" s="1"/>
    </row>
    <row r="174" spans="1:24" x14ac:dyDescent="0.3">
      <c r="D174" s="1"/>
      <c r="E174" s="1"/>
      <c r="F174" s="1"/>
      <c r="R174" s="1"/>
      <c r="S174" s="1"/>
      <c r="T174" s="1"/>
      <c r="U174" s="1"/>
      <c r="V174" s="1"/>
      <c r="W174" s="1"/>
      <c r="X174" s="1"/>
    </row>
    <row r="175" spans="1:24" x14ac:dyDescent="0.3">
      <c r="E175" s="4"/>
      <c r="F175" s="4"/>
      <c r="R175" s="4"/>
      <c r="S175" s="4"/>
      <c r="T175" s="4"/>
      <c r="V175" s="5"/>
      <c r="W175" s="2"/>
    </row>
    <row r="176" spans="1:24" x14ac:dyDescent="0.3">
      <c r="E176" s="44" t="s">
        <v>866</v>
      </c>
      <c r="V176" s="5"/>
      <c r="W176" s="2"/>
    </row>
    <row r="177" spans="1:24" x14ac:dyDescent="0.3">
      <c r="R177" s="4"/>
      <c r="S177" s="4"/>
      <c r="T177" s="4"/>
      <c r="V177" s="5"/>
      <c r="W177" s="2"/>
    </row>
    <row r="178" spans="1:24" x14ac:dyDescent="0.3">
      <c r="R178" s="4"/>
      <c r="S178" s="4"/>
      <c r="T178" s="4"/>
      <c r="V178" s="5"/>
      <c r="W178" s="2"/>
    </row>
    <row r="179" spans="1:24" x14ac:dyDescent="0.3">
      <c r="R179" s="4"/>
      <c r="S179" s="4"/>
      <c r="T179" s="4"/>
      <c r="V179" s="5"/>
      <c r="W179" s="2"/>
    </row>
    <row r="180" spans="1:24" x14ac:dyDescent="0.3">
      <c r="E180" s="4"/>
      <c r="F180" s="4"/>
      <c r="R180" s="4"/>
      <c r="S180" s="4"/>
      <c r="T180" s="4"/>
      <c r="V180" s="5"/>
      <c r="W180" s="2"/>
    </row>
    <row r="181" spans="1:24" x14ac:dyDescent="0.3">
      <c r="R181" s="4"/>
      <c r="S181" s="4"/>
      <c r="T181" s="4"/>
      <c r="V181" s="5"/>
      <c r="W181" s="2"/>
    </row>
    <row r="182" spans="1:24" x14ac:dyDescent="0.3">
      <c r="R182" s="4"/>
      <c r="S182" s="4"/>
      <c r="T182" s="4"/>
      <c r="V182" s="9"/>
      <c r="W182" s="2"/>
    </row>
    <row r="183" spans="1:24" x14ac:dyDescent="0.3">
      <c r="R183" s="4"/>
      <c r="S183" s="4"/>
      <c r="T183" s="4"/>
      <c r="V183" s="5"/>
      <c r="W183" s="2"/>
    </row>
    <row r="184" spans="1:24" x14ac:dyDescent="0.3">
      <c r="D184" s="6"/>
      <c r="F184" s="4"/>
      <c r="R184" s="4"/>
      <c r="S184" s="4"/>
      <c r="T184" s="4"/>
      <c r="V184" s="5"/>
      <c r="W184" s="2"/>
    </row>
    <row r="185" spans="1:24" x14ac:dyDescent="0.3">
      <c r="E185" s="4"/>
      <c r="F185" s="4"/>
    </row>
    <row r="186" spans="1:24" x14ac:dyDescent="0.3">
      <c r="R186" s="1"/>
      <c r="S186" s="1"/>
      <c r="T186" s="1"/>
      <c r="U186" s="1"/>
      <c r="V186" s="1"/>
      <c r="W186" s="1"/>
      <c r="X186" s="1"/>
    </row>
    <row r="187" spans="1:24" x14ac:dyDescent="0.3">
      <c r="A187" s="6"/>
      <c r="D187" s="1"/>
      <c r="E187" s="1"/>
      <c r="F187" s="1"/>
      <c r="R187" s="1"/>
      <c r="S187" s="1"/>
      <c r="T187" s="1"/>
      <c r="U187" s="1"/>
      <c r="V187" s="1"/>
      <c r="W187" s="1"/>
      <c r="X187" s="1"/>
    </row>
    <row r="188" spans="1:24" x14ac:dyDescent="0.3">
      <c r="D188" s="1"/>
      <c r="E188" s="1"/>
      <c r="F188" s="1"/>
      <c r="G188" s="1"/>
      <c r="H188" s="1"/>
      <c r="I188" s="1"/>
      <c r="J188" s="1"/>
      <c r="K188" s="1"/>
      <c r="L188" s="1"/>
      <c r="Q188" s="4"/>
      <c r="R188" s="4"/>
      <c r="S188" s="4"/>
      <c r="T188" s="4"/>
      <c r="V188" s="5"/>
      <c r="W188" s="2"/>
    </row>
    <row r="189" spans="1:24" x14ac:dyDescent="0.3">
      <c r="E189" s="4"/>
      <c r="F189" s="4"/>
      <c r="G189" s="4"/>
      <c r="H189" s="4"/>
      <c r="J189" s="5"/>
      <c r="K189" s="2"/>
    </row>
    <row r="190" spans="1:24" x14ac:dyDescent="0.3">
      <c r="E190" s="4"/>
      <c r="F190" s="4"/>
      <c r="G190" s="4"/>
      <c r="H190" s="4"/>
      <c r="J190" s="2"/>
      <c r="K190" s="2"/>
    </row>
    <row r="192" spans="1:24" x14ac:dyDescent="0.3">
      <c r="A192" s="6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3">
      <c r="D193" s="1"/>
      <c r="E193" s="1"/>
      <c r="F193" s="1"/>
      <c r="G193" s="1"/>
      <c r="H193" s="1"/>
      <c r="I193" s="1"/>
      <c r="J193" s="1"/>
      <c r="K193" s="1"/>
      <c r="L193" s="1"/>
    </row>
    <row r="194" spans="1:12" x14ac:dyDescent="0.3">
      <c r="E194" s="4"/>
      <c r="F194" s="4"/>
      <c r="G194" s="4"/>
      <c r="H194" s="4"/>
      <c r="J194" s="5"/>
      <c r="K194" s="2"/>
    </row>
    <row r="195" spans="1:12" x14ac:dyDescent="0.3">
      <c r="F195" s="4"/>
      <c r="G195" s="4"/>
      <c r="H195" s="4"/>
      <c r="J195" s="5"/>
      <c r="K195" s="2"/>
    </row>
    <row r="196" spans="1:12" x14ac:dyDescent="0.3">
      <c r="F196" s="4"/>
      <c r="G196" s="4"/>
      <c r="H196" s="4"/>
      <c r="J196" s="5"/>
      <c r="K196" s="2"/>
    </row>
    <row r="197" spans="1:12" x14ac:dyDescent="0.3">
      <c r="E197" s="4"/>
      <c r="F197" s="4"/>
      <c r="G197" s="4"/>
      <c r="H197" s="4"/>
      <c r="J197" s="5"/>
      <c r="K197" s="2"/>
    </row>
    <row r="199" spans="1:12" x14ac:dyDescent="0.3">
      <c r="A199" s="6"/>
      <c r="E199" s="1"/>
      <c r="F199" s="1"/>
      <c r="G199" s="1"/>
      <c r="H199" s="1"/>
      <c r="I199" s="1"/>
      <c r="J199" s="1"/>
      <c r="K199" s="1"/>
      <c r="L199" s="1"/>
    </row>
    <row r="200" spans="1:12" x14ac:dyDescent="0.3">
      <c r="E200" s="1"/>
      <c r="F200" s="1"/>
      <c r="G200" s="1"/>
      <c r="H200" s="1"/>
      <c r="I200" s="1"/>
      <c r="J200" s="1"/>
      <c r="K200" s="1"/>
      <c r="L200" s="1"/>
    </row>
    <row r="201" spans="1:12" x14ac:dyDescent="0.3">
      <c r="E201" s="4"/>
      <c r="F201" s="4"/>
      <c r="G201" s="4"/>
      <c r="H201" s="4"/>
      <c r="J201" s="5"/>
      <c r="K201" s="2"/>
    </row>
    <row r="202" spans="1:12" x14ac:dyDescent="0.3">
      <c r="J202" s="5"/>
      <c r="K202" s="2"/>
    </row>
    <row r="203" spans="1:12" x14ac:dyDescent="0.3">
      <c r="E203" s="4"/>
      <c r="F203" s="4"/>
      <c r="G203" s="4"/>
      <c r="H203" s="4"/>
      <c r="J203" s="5"/>
      <c r="K203" s="2"/>
    </row>
  </sheetData>
  <printOptions gridLines="1"/>
  <pageMargins left="1" right="1" top="1" bottom="1" header="0.5" footer="0.5"/>
  <pageSetup fitToHeight="0" orientation="portrait" r:id="rId1"/>
  <headerFooter alignWithMargins="0"/>
  <ignoredErrors>
    <ignoredError sqref="D12:E12 D22:E22 D29:E29 D43:E4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3"/>
  <sheetViews>
    <sheetView view="pageLayout" zoomScale="80" zoomScaleNormal="70" zoomScalePageLayoutView="80" workbookViewId="0">
      <selection activeCell="O42" sqref="O42"/>
    </sheetView>
  </sheetViews>
  <sheetFormatPr defaultRowHeight="14.4" x14ac:dyDescent="0.3"/>
  <cols>
    <col min="1" max="1" width="9.33203125" customWidth="1"/>
    <col min="5" max="5" width="9.5546875" customWidth="1"/>
    <col min="6" max="6" width="9.33203125" customWidth="1"/>
    <col min="7" max="7" width="9.88671875" customWidth="1"/>
    <col min="8" max="9" width="9.5546875" customWidth="1"/>
    <col min="10" max="10" width="10.44140625" customWidth="1"/>
    <col min="12" max="12" width="13" customWidth="1"/>
    <col min="13" max="13" width="10.33203125" customWidth="1"/>
    <col min="14" max="17" width="10.109375" customWidth="1"/>
    <col min="18" max="18" width="8.6640625" customWidth="1"/>
  </cols>
  <sheetData>
    <row r="1" spans="1:23" x14ac:dyDescent="0.3">
      <c r="J1" s="24" t="s">
        <v>298</v>
      </c>
      <c r="K1" s="18"/>
      <c r="L1" s="18"/>
      <c r="M1" s="57" t="s">
        <v>1</v>
      </c>
      <c r="N1" s="22" t="s">
        <v>901</v>
      </c>
      <c r="O1" s="23" t="s">
        <v>2</v>
      </c>
      <c r="P1" s="22" t="s">
        <v>3</v>
      </c>
      <c r="Q1" s="23" t="s">
        <v>3</v>
      </c>
    </row>
    <row r="2" spans="1:23" x14ac:dyDescent="0.3">
      <c r="J2" s="18"/>
      <c r="K2" s="18"/>
      <c r="L2" s="18"/>
      <c r="M2" s="57">
        <v>2022</v>
      </c>
      <c r="N2" s="22">
        <v>2023</v>
      </c>
      <c r="O2" s="23">
        <v>2024</v>
      </c>
      <c r="P2" s="22" t="s">
        <v>894</v>
      </c>
      <c r="Q2" s="23" t="s">
        <v>902</v>
      </c>
    </row>
    <row r="3" spans="1:23" x14ac:dyDescent="0.3">
      <c r="J3" s="33" t="s">
        <v>299</v>
      </c>
      <c r="K3" s="33" t="s">
        <v>305</v>
      </c>
      <c r="L3" s="18"/>
      <c r="M3" s="59">
        <v>9000</v>
      </c>
      <c r="N3" s="70">
        <v>9000</v>
      </c>
      <c r="O3" s="124">
        <v>9000</v>
      </c>
      <c r="P3" s="68">
        <f>(N3-M3)/M3</f>
        <v>0</v>
      </c>
      <c r="Q3" s="20">
        <f>(O3-N3)/N3</f>
        <v>0</v>
      </c>
    </row>
    <row r="4" spans="1:23" x14ac:dyDescent="0.3">
      <c r="J4" s="33" t="s">
        <v>300</v>
      </c>
      <c r="K4" s="18" t="s">
        <v>835</v>
      </c>
      <c r="L4" s="18"/>
      <c r="M4" s="59">
        <v>558</v>
      </c>
      <c r="N4" s="19">
        <f>(N3*0.062)</f>
        <v>558</v>
      </c>
      <c r="O4" s="131">
        <f>(O3*0.062)</f>
        <v>558</v>
      </c>
      <c r="P4" s="68">
        <f t="shared" ref="P4:P9" si="0">(N4-M4)/M4</f>
        <v>0</v>
      </c>
      <c r="Q4" s="20">
        <f t="shared" ref="Q4:Q9" si="1">(O4-N4)/N4</f>
        <v>0</v>
      </c>
    </row>
    <row r="5" spans="1:23" x14ac:dyDescent="0.3">
      <c r="J5" s="33" t="s">
        <v>301</v>
      </c>
      <c r="K5" s="18" t="s">
        <v>307</v>
      </c>
      <c r="L5" s="18"/>
      <c r="M5" s="59">
        <v>131</v>
      </c>
      <c r="N5" s="19">
        <f>(N3*0.0145)</f>
        <v>130.5</v>
      </c>
      <c r="O5" s="131">
        <f>(O3*0.0145)</f>
        <v>130.5</v>
      </c>
      <c r="P5" s="68">
        <f t="shared" si="0"/>
        <v>-3.8167938931297708E-3</v>
      </c>
      <c r="Q5" s="20">
        <f t="shared" si="1"/>
        <v>0</v>
      </c>
    </row>
    <row r="6" spans="1:23" x14ac:dyDescent="0.3">
      <c r="J6" s="33" t="s">
        <v>302</v>
      </c>
      <c r="K6" s="18" t="s">
        <v>308</v>
      </c>
      <c r="L6" s="18"/>
      <c r="M6" s="59">
        <v>50</v>
      </c>
      <c r="N6" s="19">
        <v>0</v>
      </c>
      <c r="O6" s="124">
        <v>0</v>
      </c>
      <c r="P6" s="68">
        <f t="shared" si="0"/>
        <v>-1</v>
      </c>
      <c r="Q6" s="20" t="e">
        <f t="shared" si="1"/>
        <v>#DIV/0!</v>
      </c>
    </row>
    <row r="7" spans="1:23" x14ac:dyDescent="0.3">
      <c r="A7" s="24" t="s">
        <v>261</v>
      </c>
      <c r="B7" s="18"/>
      <c r="C7" s="18"/>
      <c r="D7" s="18"/>
      <c r="E7" s="57" t="s">
        <v>1</v>
      </c>
      <c r="F7" s="22" t="s">
        <v>901</v>
      </c>
      <c r="G7" s="23" t="s">
        <v>2</v>
      </c>
      <c r="H7" s="22" t="s">
        <v>3</v>
      </c>
      <c r="I7" s="23" t="s">
        <v>3</v>
      </c>
      <c r="J7" s="33" t="s">
        <v>303</v>
      </c>
      <c r="K7" s="18" t="s">
        <v>309</v>
      </c>
      <c r="L7" s="18"/>
      <c r="M7" s="59">
        <v>450</v>
      </c>
      <c r="N7" s="19">
        <v>500</v>
      </c>
      <c r="O7" s="124">
        <v>500</v>
      </c>
      <c r="P7" s="68">
        <f t="shared" si="0"/>
        <v>0.1111111111111111</v>
      </c>
      <c r="Q7" s="20">
        <f t="shared" si="1"/>
        <v>0</v>
      </c>
    </row>
    <row r="8" spans="1:23" x14ac:dyDescent="0.3">
      <c r="A8" s="18"/>
      <c r="B8" s="18"/>
      <c r="C8" s="18"/>
      <c r="D8" s="18"/>
      <c r="E8" s="57">
        <v>2022</v>
      </c>
      <c r="F8" s="22">
        <v>2023</v>
      </c>
      <c r="G8" s="23">
        <v>2024</v>
      </c>
      <c r="H8" s="22" t="s">
        <v>894</v>
      </c>
      <c r="I8" s="23" t="s">
        <v>902</v>
      </c>
      <c r="J8" s="33" t="s">
        <v>304</v>
      </c>
      <c r="K8" s="18" t="s">
        <v>310</v>
      </c>
      <c r="L8" s="18"/>
      <c r="M8" s="59">
        <v>500</v>
      </c>
      <c r="N8" s="19">
        <v>600</v>
      </c>
      <c r="O8" s="124">
        <v>500</v>
      </c>
      <c r="P8" s="68">
        <f t="shared" si="0"/>
        <v>0.2</v>
      </c>
      <c r="Q8" s="20">
        <f t="shared" si="1"/>
        <v>-0.16666666666666666</v>
      </c>
    </row>
    <row r="9" spans="1:23" x14ac:dyDescent="0.3">
      <c r="A9" s="18" t="s">
        <v>262</v>
      </c>
      <c r="B9" s="18" t="s">
        <v>269</v>
      </c>
      <c r="C9" s="18"/>
      <c r="D9" s="18"/>
      <c r="E9" s="58">
        <v>19200</v>
      </c>
      <c r="F9" s="21">
        <v>19200</v>
      </c>
      <c r="G9" s="36">
        <v>19200</v>
      </c>
      <c r="H9" s="68">
        <f>(F9-E9)/E9</f>
        <v>0</v>
      </c>
      <c r="I9" s="20">
        <f>(G9-F9)/F9</f>
        <v>0</v>
      </c>
      <c r="J9" s="18"/>
      <c r="K9" s="24" t="s">
        <v>7</v>
      </c>
      <c r="L9" s="18"/>
      <c r="M9" s="61">
        <f>SUM(M3:M8)</f>
        <v>10689</v>
      </c>
      <c r="N9" s="28">
        <f>SUM(N3:N8)</f>
        <v>10788.5</v>
      </c>
      <c r="O9" s="126">
        <f>SUM(O3:O8)</f>
        <v>10688.5</v>
      </c>
      <c r="P9" s="69">
        <f t="shared" si="0"/>
        <v>9.308635045373749E-3</v>
      </c>
      <c r="Q9" s="74">
        <f t="shared" si="1"/>
        <v>-9.269129165314919E-3</v>
      </c>
    </row>
    <row r="10" spans="1:23" x14ac:dyDescent="0.3">
      <c r="A10" s="18" t="s">
        <v>263</v>
      </c>
      <c r="B10" s="18" t="s">
        <v>270</v>
      </c>
      <c r="C10" s="18"/>
      <c r="D10" s="18"/>
      <c r="E10" s="19">
        <f t="shared" ref="E10:G10" si="2">(E9*0.062)</f>
        <v>1190.4000000000001</v>
      </c>
      <c r="F10" s="19">
        <f t="shared" si="2"/>
        <v>1190.4000000000001</v>
      </c>
      <c r="G10" s="73">
        <f t="shared" si="2"/>
        <v>1190.4000000000001</v>
      </c>
      <c r="H10" s="68">
        <f t="shared" ref="H10:H16" si="3">(F10-E10)/E10</f>
        <v>0</v>
      </c>
      <c r="I10" s="20">
        <f t="shared" ref="I10:I16" si="4">(G10-F10)/F10</f>
        <v>0</v>
      </c>
      <c r="S10" s="4"/>
      <c r="U10" s="11"/>
      <c r="W10" s="5"/>
    </row>
    <row r="11" spans="1:23" x14ac:dyDescent="0.3">
      <c r="A11" s="18" t="s">
        <v>264</v>
      </c>
      <c r="B11" s="18" t="s">
        <v>271</v>
      </c>
      <c r="C11" s="18"/>
      <c r="D11" s="18"/>
      <c r="E11" s="19">
        <f t="shared" ref="E11:G11" si="5">(E9*0.0145)</f>
        <v>278.40000000000003</v>
      </c>
      <c r="F11" s="19">
        <f t="shared" si="5"/>
        <v>278.40000000000003</v>
      </c>
      <c r="G11" s="73">
        <f t="shared" si="5"/>
        <v>278.40000000000003</v>
      </c>
      <c r="H11" s="68">
        <f t="shared" si="3"/>
        <v>0</v>
      </c>
      <c r="I11" s="20">
        <f t="shared" si="4"/>
        <v>0</v>
      </c>
      <c r="R11" s="4"/>
      <c r="S11" s="4"/>
      <c r="T11" s="4"/>
      <c r="U11" s="4"/>
    </row>
    <row r="12" spans="1:23" x14ac:dyDescent="0.3">
      <c r="A12" s="18" t="s">
        <v>265</v>
      </c>
      <c r="B12" s="18" t="s">
        <v>272</v>
      </c>
      <c r="C12" s="18"/>
      <c r="D12" s="18"/>
      <c r="E12" s="59">
        <v>3900</v>
      </c>
      <c r="F12" s="21">
        <v>4000</v>
      </c>
      <c r="G12" s="35">
        <v>4000</v>
      </c>
      <c r="H12" s="68">
        <f t="shared" si="3"/>
        <v>2.564102564102564E-2</v>
      </c>
      <c r="I12" s="20">
        <f t="shared" si="4"/>
        <v>0</v>
      </c>
      <c r="J12" s="24" t="s">
        <v>311</v>
      </c>
      <c r="K12" s="18"/>
      <c r="L12" s="18"/>
      <c r="M12" s="57" t="s">
        <v>1</v>
      </c>
      <c r="N12" s="22" t="s">
        <v>901</v>
      </c>
      <c r="O12" s="23" t="s">
        <v>2</v>
      </c>
      <c r="P12" s="22" t="s">
        <v>3</v>
      </c>
      <c r="Q12" s="23" t="s">
        <v>3</v>
      </c>
    </row>
    <row r="13" spans="1:23" x14ac:dyDescent="0.3">
      <c r="A13" s="18" t="s">
        <v>266</v>
      </c>
      <c r="B13" s="18" t="s">
        <v>273</v>
      </c>
      <c r="C13" s="18"/>
      <c r="D13" s="18"/>
      <c r="E13" s="59">
        <v>1000</v>
      </c>
      <c r="F13" s="21">
        <v>1000</v>
      </c>
      <c r="G13" s="35">
        <v>1000</v>
      </c>
      <c r="H13" s="68">
        <f t="shared" si="3"/>
        <v>0</v>
      </c>
      <c r="I13" s="20">
        <f t="shared" si="4"/>
        <v>0</v>
      </c>
      <c r="J13" s="18"/>
      <c r="K13" s="18"/>
      <c r="L13" s="18"/>
      <c r="M13" s="57">
        <v>2022</v>
      </c>
      <c r="N13" s="22">
        <v>2023</v>
      </c>
      <c r="O13" s="23">
        <v>2024</v>
      </c>
      <c r="P13" s="22" t="s">
        <v>894</v>
      </c>
      <c r="Q13" s="23" t="s">
        <v>902</v>
      </c>
    </row>
    <row r="14" spans="1:23" x14ac:dyDescent="0.3">
      <c r="A14" s="18" t="s">
        <v>267</v>
      </c>
      <c r="B14" s="18" t="s">
        <v>274</v>
      </c>
      <c r="C14" s="18"/>
      <c r="D14" s="18"/>
      <c r="E14" s="59">
        <v>1500</v>
      </c>
      <c r="F14" s="21">
        <v>1500</v>
      </c>
      <c r="G14" s="35">
        <v>1500</v>
      </c>
      <c r="H14" s="68">
        <f t="shared" si="3"/>
        <v>0</v>
      </c>
      <c r="I14" s="20">
        <f t="shared" si="4"/>
        <v>0</v>
      </c>
      <c r="J14" s="33" t="s">
        <v>312</v>
      </c>
      <c r="K14" s="18" t="s">
        <v>844</v>
      </c>
      <c r="L14" s="18"/>
      <c r="M14" s="59">
        <v>250000</v>
      </c>
      <c r="N14" s="21">
        <v>255000</v>
      </c>
      <c r="O14" s="124">
        <v>270000</v>
      </c>
      <c r="P14" s="41">
        <f>(N14-M14)/M14</f>
        <v>0.02</v>
      </c>
      <c r="Q14" s="27">
        <f>(O14-N14)/N14</f>
        <v>5.8823529411764705E-2</v>
      </c>
    </row>
    <row r="15" spans="1:23" x14ac:dyDescent="0.3">
      <c r="A15" s="18" t="s">
        <v>268</v>
      </c>
      <c r="B15" s="18" t="s">
        <v>275</v>
      </c>
      <c r="C15" s="18"/>
      <c r="D15" s="18"/>
      <c r="E15" s="59">
        <v>0</v>
      </c>
      <c r="F15" s="18">
        <v>0</v>
      </c>
      <c r="G15" s="35">
        <v>2000</v>
      </c>
      <c r="H15" s="68" t="e">
        <f t="shared" si="3"/>
        <v>#DIV/0!</v>
      </c>
      <c r="I15" s="20" t="e">
        <f t="shared" si="4"/>
        <v>#DIV/0!</v>
      </c>
      <c r="J15" s="33" t="s">
        <v>313</v>
      </c>
      <c r="K15" s="18" t="s">
        <v>788</v>
      </c>
      <c r="L15" s="18"/>
      <c r="M15" s="59">
        <v>70000</v>
      </c>
      <c r="N15" s="21">
        <v>49000</v>
      </c>
      <c r="O15" s="124">
        <v>45000</v>
      </c>
      <c r="P15" s="41">
        <f t="shared" ref="P15:P24" si="6">(N15-M15)/M15</f>
        <v>-0.3</v>
      </c>
      <c r="Q15" s="27">
        <f t="shared" ref="Q15:Q24" si="7">(O15-N15)/N15</f>
        <v>-8.1632653061224483E-2</v>
      </c>
    </row>
    <row r="16" spans="1:23" x14ac:dyDescent="0.3">
      <c r="A16" s="18"/>
      <c r="B16" s="24" t="s">
        <v>7</v>
      </c>
      <c r="C16" s="24"/>
      <c r="D16" s="18"/>
      <c r="E16" s="62">
        <f>SUM(E9:E15)</f>
        <v>27068.800000000003</v>
      </c>
      <c r="F16" s="25">
        <f>SUM(F9:F15)</f>
        <v>27168.800000000003</v>
      </c>
      <c r="G16" s="71">
        <f>SUM(G9:G15)</f>
        <v>29168.800000000003</v>
      </c>
      <c r="H16" s="69">
        <f t="shared" si="3"/>
        <v>3.6942901052133817E-3</v>
      </c>
      <c r="I16" s="74">
        <f t="shared" si="4"/>
        <v>7.3613851182238441E-2</v>
      </c>
      <c r="J16" s="33" t="s">
        <v>314</v>
      </c>
      <c r="K16" s="18" t="s">
        <v>836</v>
      </c>
      <c r="L16" s="18"/>
      <c r="M16" s="59">
        <f>(M14)*0.062</f>
        <v>15500</v>
      </c>
      <c r="N16" s="18">
        <f>(N14)*0.062</f>
        <v>15810</v>
      </c>
      <c r="O16" s="124">
        <f>(O14)*0.062</f>
        <v>16740</v>
      </c>
      <c r="P16" s="41">
        <f t="shared" si="6"/>
        <v>0.02</v>
      </c>
      <c r="Q16" s="27">
        <f t="shared" si="7"/>
        <v>5.8823529411764705E-2</v>
      </c>
    </row>
    <row r="17" spans="1:17" x14ac:dyDescent="0.3">
      <c r="J17" s="33" t="s">
        <v>264</v>
      </c>
      <c r="K17" s="18" t="s">
        <v>789</v>
      </c>
      <c r="L17" s="18"/>
      <c r="M17" s="59">
        <f>(M14)*0.0145</f>
        <v>3625</v>
      </c>
      <c r="N17" s="18">
        <f>(N14)*0.0145</f>
        <v>3697.5</v>
      </c>
      <c r="O17" s="124">
        <f>(O14)*0.0145</f>
        <v>3915</v>
      </c>
      <c r="P17" s="41">
        <f t="shared" si="6"/>
        <v>0.02</v>
      </c>
      <c r="Q17" s="27">
        <f t="shared" si="7"/>
        <v>5.8823529411764705E-2</v>
      </c>
    </row>
    <row r="18" spans="1:17" x14ac:dyDescent="0.3">
      <c r="J18" s="33" t="s">
        <v>315</v>
      </c>
      <c r="K18" s="33" t="s">
        <v>790</v>
      </c>
      <c r="L18" s="18"/>
      <c r="M18" s="59">
        <f>(M14)*0.0675</f>
        <v>16875</v>
      </c>
      <c r="N18" s="18">
        <f>(N14)*0.068</f>
        <v>17340</v>
      </c>
      <c r="O18" s="124">
        <f>(O14)*0.069</f>
        <v>18630</v>
      </c>
      <c r="P18" s="41">
        <f t="shared" si="6"/>
        <v>2.7555555555555555E-2</v>
      </c>
      <c r="Q18" s="27">
        <f t="shared" si="7"/>
        <v>7.4394463667820071E-2</v>
      </c>
    </row>
    <row r="19" spans="1:17" x14ac:dyDescent="0.3">
      <c r="A19" s="24" t="s">
        <v>276</v>
      </c>
      <c r="B19" s="18"/>
      <c r="C19" s="18"/>
      <c r="D19" s="18"/>
      <c r="E19" s="57" t="s">
        <v>1</v>
      </c>
      <c r="F19" s="22" t="s">
        <v>901</v>
      </c>
      <c r="G19" s="23" t="s">
        <v>2</v>
      </c>
      <c r="H19" s="22" t="s">
        <v>3</v>
      </c>
      <c r="I19" s="23" t="s">
        <v>3</v>
      </c>
      <c r="J19" s="33" t="s">
        <v>316</v>
      </c>
      <c r="K19" s="33" t="s">
        <v>308</v>
      </c>
      <c r="L19" s="18"/>
      <c r="M19" s="59">
        <v>1200</v>
      </c>
      <c r="N19" s="21">
        <v>2000</v>
      </c>
      <c r="O19" s="124">
        <v>2500</v>
      </c>
      <c r="P19" s="41">
        <f t="shared" si="6"/>
        <v>0.66666666666666663</v>
      </c>
      <c r="Q19" s="27">
        <f t="shared" si="7"/>
        <v>0.25</v>
      </c>
    </row>
    <row r="20" spans="1:17" x14ac:dyDescent="0.3">
      <c r="A20" s="18"/>
      <c r="B20" s="18"/>
      <c r="C20" s="18"/>
      <c r="D20" s="18"/>
      <c r="E20" s="57">
        <v>2022</v>
      </c>
      <c r="F20" s="22">
        <v>2023</v>
      </c>
      <c r="G20" s="23">
        <v>2024</v>
      </c>
      <c r="H20" s="22" t="s">
        <v>894</v>
      </c>
      <c r="I20" s="23" t="s">
        <v>902</v>
      </c>
      <c r="J20" s="33" t="s">
        <v>317</v>
      </c>
      <c r="K20" s="18" t="s">
        <v>309</v>
      </c>
      <c r="L20" s="18"/>
      <c r="M20" s="59">
        <v>3800</v>
      </c>
      <c r="N20" s="21">
        <v>4000</v>
      </c>
      <c r="O20" s="124">
        <v>6000</v>
      </c>
      <c r="P20" s="41">
        <f t="shared" si="6"/>
        <v>5.2631578947368418E-2</v>
      </c>
      <c r="Q20" s="27">
        <f t="shared" si="7"/>
        <v>0.5</v>
      </c>
    </row>
    <row r="21" spans="1:17" x14ac:dyDescent="0.3">
      <c r="A21" s="18" t="s">
        <v>277</v>
      </c>
      <c r="B21" s="18" t="s">
        <v>286</v>
      </c>
      <c r="C21" s="18"/>
      <c r="D21" s="18"/>
      <c r="E21" s="129">
        <v>28402.06</v>
      </c>
      <c r="F21" s="123">
        <v>31200</v>
      </c>
      <c r="G21" s="124">
        <v>35945</v>
      </c>
      <c r="H21" s="68">
        <f>(F21-E21)/E21</f>
        <v>9.8511868505312586E-2</v>
      </c>
      <c r="I21" s="20">
        <f>(G21-F21)/F21</f>
        <v>0.15208333333333332</v>
      </c>
      <c r="J21" s="33" t="s">
        <v>318</v>
      </c>
      <c r="K21" s="18" t="s">
        <v>310</v>
      </c>
      <c r="L21" s="18"/>
      <c r="M21" s="59">
        <v>4000</v>
      </c>
      <c r="N21" s="21">
        <v>5000</v>
      </c>
      <c r="O21" s="124">
        <v>5000</v>
      </c>
      <c r="P21" s="41">
        <f t="shared" si="6"/>
        <v>0.25</v>
      </c>
      <c r="Q21" s="27">
        <f t="shared" si="7"/>
        <v>0</v>
      </c>
    </row>
    <row r="22" spans="1:17" x14ac:dyDescent="0.3">
      <c r="A22" s="18" t="s">
        <v>278</v>
      </c>
      <c r="B22" s="18" t="s">
        <v>287</v>
      </c>
      <c r="C22" s="18"/>
      <c r="D22" s="18"/>
      <c r="E22" s="129">
        <v>10397.030000000001</v>
      </c>
      <c r="F22" s="123">
        <v>12000</v>
      </c>
      <c r="G22" s="124">
        <v>10000</v>
      </c>
      <c r="H22" s="68">
        <f t="shared" ref="H22:H30" si="8">(F22-E22)/E22</f>
        <v>0.15417575980832982</v>
      </c>
      <c r="I22" s="20">
        <f t="shared" ref="I22:I30" si="9">(G22-F22)/F22</f>
        <v>-0.16666666666666666</v>
      </c>
      <c r="J22" s="33" t="s">
        <v>319</v>
      </c>
      <c r="K22" s="18" t="s">
        <v>323</v>
      </c>
      <c r="L22" s="18"/>
      <c r="M22" s="59">
        <v>5000</v>
      </c>
      <c r="N22" s="21">
        <v>5000</v>
      </c>
      <c r="O22" s="124">
        <v>7500</v>
      </c>
      <c r="P22" s="41">
        <f t="shared" si="6"/>
        <v>0</v>
      </c>
      <c r="Q22" s="27">
        <f t="shared" si="7"/>
        <v>0.5</v>
      </c>
    </row>
    <row r="23" spans="1:17" x14ac:dyDescent="0.3">
      <c r="A23" s="18" t="s">
        <v>279</v>
      </c>
      <c r="B23" s="18" t="s">
        <v>834</v>
      </c>
      <c r="C23" s="18"/>
      <c r="D23" s="18"/>
      <c r="E23" s="129">
        <f>(E21)*0.062</f>
        <v>1760.9277200000001</v>
      </c>
      <c r="F23" s="123">
        <f>(F21)*0.062</f>
        <v>1934.4</v>
      </c>
      <c r="G23" s="124">
        <f>(G21)*0.062</f>
        <v>2228.59</v>
      </c>
      <c r="H23" s="68">
        <f t="shared" si="8"/>
        <v>9.8511868505312614E-2</v>
      </c>
      <c r="I23" s="20">
        <f t="shared" si="9"/>
        <v>0.15208333333333335</v>
      </c>
      <c r="J23" s="33" t="s">
        <v>320</v>
      </c>
      <c r="K23" s="18" t="s">
        <v>324</v>
      </c>
      <c r="L23" s="18"/>
      <c r="M23" s="59">
        <v>5000</v>
      </c>
      <c r="N23" s="21">
        <v>5000</v>
      </c>
      <c r="O23" s="124">
        <v>6500</v>
      </c>
      <c r="P23" s="41">
        <f t="shared" si="6"/>
        <v>0</v>
      </c>
      <c r="Q23" s="27">
        <f t="shared" si="7"/>
        <v>0.3</v>
      </c>
    </row>
    <row r="24" spans="1:17" x14ac:dyDescent="0.3">
      <c r="A24" s="18" t="s">
        <v>280</v>
      </c>
      <c r="B24" s="18" t="s">
        <v>288</v>
      </c>
      <c r="C24" s="18"/>
      <c r="D24" s="18"/>
      <c r="E24" s="129">
        <f>(E21)*0.0145</f>
        <v>411.82987000000003</v>
      </c>
      <c r="F24" s="123">
        <f>(F21)*0.0145</f>
        <v>452.40000000000003</v>
      </c>
      <c r="G24" s="124">
        <f>(G21)*0.0145</f>
        <v>521.20249999999999</v>
      </c>
      <c r="H24" s="68">
        <f t="shared" si="8"/>
        <v>9.8511868505312655E-2</v>
      </c>
      <c r="I24" s="20">
        <f t="shared" si="9"/>
        <v>0.15208333333333321</v>
      </c>
      <c r="J24" s="18"/>
      <c r="K24" s="24" t="s">
        <v>7</v>
      </c>
      <c r="L24" s="18"/>
      <c r="M24" s="61">
        <f>SUM(M14:M23)</f>
        <v>375000</v>
      </c>
      <c r="N24" s="25">
        <f>SUM(N14:N23)</f>
        <v>361847.5</v>
      </c>
      <c r="O24" s="126">
        <f>SUM(O14:O23)</f>
        <v>381785</v>
      </c>
      <c r="P24" s="42">
        <f t="shared" si="6"/>
        <v>-3.5073333333333331E-2</v>
      </c>
      <c r="Q24" s="29">
        <f t="shared" si="7"/>
        <v>5.5099178521338409E-2</v>
      </c>
    </row>
    <row r="25" spans="1:17" x14ac:dyDescent="0.3">
      <c r="A25" s="18" t="s">
        <v>281</v>
      </c>
      <c r="B25" s="18" t="s">
        <v>289</v>
      </c>
      <c r="C25" s="18"/>
      <c r="D25" s="18"/>
      <c r="E25" s="129">
        <f>(E21)*0.0675</f>
        <v>1917.1390500000002</v>
      </c>
      <c r="F25" s="123">
        <f>(F21)*0.0675</f>
        <v>2106</v>
      </c>
      <c r="G25" s="124">
        <f>(G21)*0.069</f>
        <v>2480.2050000000004</v>
      </c>
      <c r="H25" s="68">
        <f t="shared" si="8"/>
        <v>9.8511868505312516E-2</v>
      </c>
      <c r="I25" s="20">
        <f t="shared" si="9"/>
        <v>0.17768518518518536</v>
      </c>
    </row>
    <row r="26" spans="1:17" x14ac:dyDescent="0.3">
      <c r="A26" s="18" t="s">
        <v>282</v>
      </c>
      <c r="B26" s="18" t="s">
        <v>290</v>
      </c>
      <c r="C26" s="18"/>
      <c r="D26" s="18"/>
      <c r="E26" s="129">
        <v>1247.45</v>
      </c>
      <c r="F26" s="123">
        <v>1300</v>
      </c>
      <c r="G26" s="124">
        <v>1300</v>
      </c>
      <c r="H26" s="68">
        <f t="shared" si="8"/>
        <v>4.2125936911299011E-2</v>
      </c>
      <c r="I26" s="20">
        <f t="shared" si="9"/>
        <v>0</v>
      </c>
    </row>
    <row r="27" spans="1:17" x14ac:dyDescent="0.3">
      <c r="A27" s="18" t="s">
        <v>283</v>
      </c>
      <c r="B27" s="18" t="s">
        <v>291</v>
      </c>
      <c r="C27" s="18"/>
      <c r="D27" s="18"/>
      <c r="E27" s="129">
        <v>1381.8</v>
      </c>
      <c r="F27" s="123">
        <v>1300</v>
      </c>
      <c r="G27" s="124">
        <v>1300</v>
      </c>
      <c r="H27" s="68">
        <f t="shared" si="8"/>
        <v>-5.9198147344043967E-2</v>
      </c>
      <c r="I27" s="20">
        <f t="shared" si="9"/>
        <v>0</v>
      </c>
      <c r="J27" s="24" t="s">
        <v>354</v>
      </c>
      <c r="K27" s="18"/>
      <c r="L27" s="18"/>
      <c r="M27" s="57" t="s">
        <v>1</v>
      </c>
      <c r="N27" s="22" t="s">
        <v>901</v>
      </c>
      <c r="O27" s="23" t="s">
        <v>2</v>
      </c>
      <c r="P27" s="22" t="s">
        <v>3</v>
      </c>
      <c r="Q27" s="23" t="s">
        <v>3</v>
      </c>
    </row>
    <row r="28" spans="1:17" x14ac:dyDescent="0.3">
      <c r="A28" s="18" t="s">
        <v>284</v>
      </c>
      <c r="B28" s="18" t="s">
        <v>292</v>
      </c>
      <c r="C28" s="18"/>
      <c r="D28" s="18"/>
      <c r="E28" s="129">
        <v>1300</v>
      </c>
      <c r="F28" s="123">
        <v>1350</v>
      </c>
      <c r="G28" s="124">
        <v>1350</v>
      </c>
      <c r="H28" s="68">
        <f t="shared" si="8"/>
        <v>3.8461538461538464E-2</v>
      </c>
      <c r="I28" s="20">
        <f t="shared" si="9"/>
        <v>0</v>
      </c>
      <c r="J28" s="18"/>
      <c r="K28" s="18"/>
      <c r="L28" s="18"/>
      <c r="M28" s="57">
        <v>2022</v>
      </c>
      <c r="N28" s="22">
        <v>2023</v>
      </c>
      <c r="O28" s="23">
        <v>2024</v>
      </c>
      <c r="P28" s="22" t="s">
        <v>894</v>
      </c>
      <c r="Q28" s="23" t="s">
        <v>902</v>
      </c>
    </row>
    <row r="29" spans="1:17" x14ac:dyDescent="0.3">
      <c r="A29" s="18" t="s">
        <v>285</v>
      </c>
      <c r="B29" s="18" t="s">
        <v>293</v>
      </c>
      <c r="C29" s="18"/>
      <c r="D29" s="18"/>
      <c r="E29" s="129">
        <v>1100</v>
      </c>
      <c r="F29" s="123">
        <v>1100</v>
      </c>
      <c r="G29" s="124">
        <v>1100</v>
      </c>
      <c r="H29" s="68">
        <f t="shared" si="8"/>
        <v>0</v>
      </c>
      <c r="I29" s="20">
        <f t="shared" si="9"/>
        <v>0</v>
      </c>
      <c r="J29" s="18" t="s">
        <v>355</v>
      </c>
      <c r="K29" s="18" t="s">
        <v>364</v>
      </c>
      <c r="L29" s="18"/>
      <c r="M29" s="59">
        <v>5000</v>
      </c>
      <c r="N29" s="21">
        <v>5000</v>
      </c>
      <c r="O29" s="124">
        <v>8000</v>
      </c>
      <c r="P29" s="41">
        <f>(N29-M29)/M29</f>
        <v>0</v>
      </c>
      <c r="Q29" s="27">
        <f>(O29-N29)/N29</f>
        <v>0.6</v>
      </c>
    </row>
    <row r="30" spans="1:17" x14ac:dyDescent="0.3">
      <c r="A30" s="18"/>
      <c r="B30" s="24" t="s">
        <v>7</v>
      </c>
      <c r="C30" s="18"/>
      <c r="D30" s="18"/>
      <c r="E30" s="130">
        <f>SUM(E21:E29)</f>
        <v>47918.236640000003</v>
      </c>
      <c r="F30" s="125">
        <f>SUM(F21:F29)</f>
        <v>52742.8</v>
      </c>
      <c r="G30" s="126">
        <f>SUM(G21:G29)</f>
        <v>56224.997499999998</v>
      </c>
      <c r="H30" s="69">
        <f t="shared" si="8"/>
        <v>0.10068324083471532</v>
      </c>
      <c r="I30" s="74">
        <f t="shared" si="9"/>
        <v>6.6022234314446607E-2</v>
      </c>
      <c r="J30" s="18" t="s">
        <v>356</v>
      </c>
      <c r="K30" s="18" t="s">
        <v>365</v>
      </c>
      <c r="L30" s="18"/>
      <c r="M30" s="59">
        <v>700</v>
      </c>
      <c r="N30" s="18">
        <v>700</v>
      </c>
      <c r="O30" s="124">
        <v>1100</v>
      </c>
      <c r="P30" s="41">
        <f t="shared" ref="P30:P38" si="10">(N30-M30)/M30</f>
        <v>0</v>
      </c>
      <c r="Q30" s="27">
        <f t="shared" ref="Q30:Q38" si="11">(O30-N30)/N30</f>
        <v>0.5714285714285714</v>
      </c>
    </row>
    <row r="31" spans="1:17" x14ac:dyDescent="0.3">
      <c r="E31" s="60"/>
      <c r="J31" s="18" t="s">
        <v>357</v>
      </c>
      <c r="K31" s="18" t="s">
        <v>366</v>
      </c>
      <c r="L31" s="18"/>
      <c r="M31" s="59">
        <v>3500</v>
      </c>
      <c r="N31" s="21">
        <v>3500</v>
      </c>
      <c r="O31" s="124">
        <v>5000</v>
      </c>
      <c r="P31" s="41">
        <f t="shared" si="10"/>
        <v>0</v>
      </c>
      <c r="Q31" s="27">
        <f t="shared" si="11"/>
        <v>0.42857142857142855</v>
      </c>
    </row>
    <row r="32" spans="1:17" x14ac:dyDescent="0.3">
      <c r="A32" s="24" t="s">
        <v>294</v>
      </c>
      <c r="B32" s="18"/>
      <c r="C32" s="18"/>
      <c r="D32" s="18"/>
      <c r="E32" s="57" t="s">
        <v>1</v>
      </c>
      <c r="F32" s="22" t="s">
        <v>901</v>
      </c>
      <c r="G32" s="23" t="s">
        <v>2</v>
      </c>
      <c r="H32" s="22" t="s">
        <v>3</v>
      </c>
      <c r="I32" s="23" t="s">
        <v>3</v>
      </c>
      <c r="J32" s="18" t="s">
        <v>358</v>
      </c>
      <c r="K32" s="18" t="s">
        <v>367</v>
      </c>
      <c r="L32" s="18"/>
      <c r="M32" s="59">
        <v>7000</v>
      </c>
      <c r="N32" s="21">
        <v>7500</v>
      </c>
      <c r="O32" s="124">
        <v>7500</v>
      </c>
      <c r="P32" s="41">
        <f t="shared" si="10"/>
        <v>7.1428571428571425E-2</v>
      </c>
      <c r="Q32" s="27">
        <f t="shared" si="11"/>
        <v>0</v>
      </c>
    </row>
    <row r="33" spans="1:19" x14ac:dyDescent="0.3">
      <c r="A33" s="18"/>
      <c r="B33" s="18"/>
      <c r="C33" s="18"/>
      <c r="D33" s="18"/>
      <c r="E33" s="57">
        <v>2022</v>
      </c>
      <c r="F33" s="22">
        <v>2023</v>
      </c>
      <c r="G33" s="23">
        <v>2024</v>
      </c>
      <c r="H33" s="22" t="s">
        <v>894</v>
      </c>
      <c r="I33" s="23" t="s">
        <v>902</v>
      </c>
      <c r="J33" s="18" t="s">
        <v>359</v>
      </c>
      <c r="K33" s="18" t="s">
        <v>368</v>
      </c>
      <c r="L33" s="18"/>
      <c r="M33" s="59">
        <v>1500</v>
      </c>
      <c r="N33" s="21">
        <v>1500</v>
      </c>
      <c r="O33" s="124">
        <v>15000</v>
      </c>
      <c r="P33" s="41">
        <f t="shared" si="10"/>
        <v>0</v>
      </c>
      <c r="Q33" s="27">
        <f t="shared" si="11"/>
        <v>9</v>
      </c>
    </row>
    <row r="34" spans="1:19" x14ac:dyDescent="0.3">
      <c r="A34" s="18" t="s">
        <v>295</v>
      </c>
      <c r="B34" s="18" t="s">
        <v>296</v>
      </c>
      <c r="C34" s="18"/>
      <c r="D34" s="18"/>
      <c r="E34" s="129">
        <v>18000</v>
      </c>
      <c r="F34" s="123">
        <v>17500</v>
      </c>
      <c r="G34" s="124">
        <v>17500</v>
      </c>
      <c r="H34" s="41">
        <f>(F34-E34)/E34</f>
        <v>-2.7777777777777776E-2</v>
      </c>
      <c r="I34" s="27">
        <f>(G34-F34)/F34</f>
        <v>0</v>
      </c>
      <c r="J34" s="18" t="s">
        <v>360</v>
      </c>
      <c r="K34" s="18" t="s">
        <v>369</v>
      </c>
      <c r="L34" s="18"/>
      <c r="M34" s="59">
        <v>0</v>
      </c>
      <c r="N34" s="18">
        <v>0</v>
      </c>
      <c r="O34" s="124">
        <v>0</v>
      </c>
      <c r="P34" s="41" t="e">
        <f t="shared" si="10"/>
        <v>#DIV/0!</v>
      </c>
      <c r="Q34" s="27" t="e">
        <f t="shared" si="11"/>
        <v>#DIV/0!</v>
      </c>
    </row>
    <row r="35" spans="1:19" x14ac:dyDescent="0.3">
      <c r="A35" s="18" t="s">
        <v>796</v>
      </c>
      <c r="B35" s="18" t="s">
        <v>297</v>
      </c>
      <c r="C35" s="18"/>
      <c r="D35" s="18"/>
      <c r="E35" s="129">
        <v>5000</v>
      </c>
      <c r="F35" s="123">
        <v>5000</v>
      </c>
      <c r="G35" s="124">
        <v>8000</v>
      </c>
      <c r="H35" s="41">
        <f>(F35-E35)/E35</f>
        <v>0</v>
      </c>
      <c r="I35" s="27">
        <f t="shared" ref="I35:I36" si="12">(G35-F35)/F35</f>
        <v>0.6</v>
      </c>
      <c r="J35" s="18" t="s">
        <v>361</v>
      </c>
      <c r="K35" s="18" t="s">
        <v>370</v>
      </c>
      <c r="L35" s="18"/>
      <c r="M35" s="59">
        <v>3500</v>
      </c>
      <c r="N35" s="21">
        <v>3500</v>
      </c>
      <c r="O35" s="124">
        <v>3500</v>
      </c>
      <c r="P35" s="41">
        <f t="shared" si="10"/>
        <v>0</v>
      </c>
      <c r="Q35" s="27">
        <f t="shared" si="11"/>
        <v>0</v>
      </c>
    </row>
    <row r="36" spans="1:19" x14ac:dyDescent="0.3">
      <c r="A36" s="18"/>
      <c r="B36" s="24" t="s">
        <v>7</v>
      </c>
      <c r="C36" s="18"/>
      <c r="D36" s="18"/>
      <c r="E36" s="130">
        <f>SUM(E34:E35)</f>
        <v>23000</v>
      </c>
      <c r="F36" s="125">
        <f>SUM(F34:F35)</f>
        <v>22500</v>
      </c>
      <c r="G36" s="126">
        <f>SUM(G34:G35)</f>
        <v>25500</v>
      </c>
      <c r="H36" s="42">
        <f>(F36-E36)/E36</f>
        <v>-2.1739130434782608E-2</v>
      </c>
      <c r="I36" s="29">
        <f t="shared" si="12"/>
        <v>0.13333333333333333</v>
      </c>
      <c r="J36" s="18" t="s">
        <v>362</v>
      </c>
      <c r="K36" s="18" t="s">
        <v>371</v>
      </c>
      <c r="L36" s="18"/>
      <c r="M36" s="59">
        <v>0</v>
      </c>
      <c r="N36" s="18">
        <v>0</v>
      </c>
      <c r="O36" s="124">
        <v>0</v>
      </c>
      <c r="P36" s="41" t="e">
        <f t="shared" si="10"/>
        <v>#DIV/0!</v>
      </c>
      <c r="Q36" s="27" t="e">
        <f t="shared" si="11"/>
        <v>#DIV/0!</v>
      </c>
    </row>
    <row r="37" spans="1:19" x14ac:dyDescent="0.3">
      <c r="E37" s="4"/>
      <c r="J37" s="18" t="s">
        <v>363</v>
      </c>
      <c r="K37" s="18" t="s">
        <v>372</v>
      </c>
      <c r="L37" s="18"/>
      <c r="M37" s="59">
        <v>7500</v>
      </c>
      <c r="N37" s="21">
        <v>6500</v>
      </c>
      <c r="O37" s="124">
        <v>10000</v>
      </c>
      <c r="P37" s="41">
        <f t="shared" si="10"/>
        <v>-0.13333333333333333</v>
      </c>
      <c r="Q37" s="27">
        <f t="shared" si="11"/>
        <v>0.53846153846153844</v>
      </c>
    </row>
    <row r="38" spans="1:19" x14ac:dyDescent="0.3">
      <c r="J38" s="18"/>
      <c r="K38" s="24" t="s">
        <v>7</v>
      </c>
      <c r="L38" s="18"/>
      <c r="M38" s="61">
        <f>SUM(M29:M37)</f>
        <v>28700</v>
      </c>
      <c r="N38" s="25">
        <f>SUM(N29:N37)</f>
        <v>28200</v>
      </c>
      <c r="O38" s="126">
        <f>SUM(O29:O37)</f>
        <v>50100</v>
      </c>
      <c r="P38" s="42">
        <f t="shared" si="10"/>
        <v>-1.7421602787456445E-2</v>
      </c>
      <c r="Q38" s="29">
        <f t="shared" si="11"/>
        <v>0.77659574468085102</v>
      </c>
    </row>
    <row r="40" spans="1:19" x14ac:dyDescent="0.3">
      <c r="J40" s="24" t="s">
        <v>373</v>
      </c>
      <c r="K40" s="18"/>
      <c r="L40" s="18"/>
      <c r="M40" s="57" t="s">
        <v>1</v>
      </c>
      <c r="N40" s="22" t="s">
        <v>901</v>
      </c>
      <c r="O40" s="23" t="s">
        <v>2</v>
      </c>
      <c r="P40" s="22" t="s">
        <v>3</v>
      </c>
      <c r="Q40" s="23" t="s">
        <v>3</v>
      </c>
    </row>
    <row r="41" spans="1:19" x14ac:dyDescent="0.3">
      <c r="J41" s="18"/>
      <c r="K41" s="18"/>
      <c r="L41" s="18"/>
      <c r="M41" s="57">
        <v>2022</v>
      </c>
      <c r="N41" s="22">
        <v>2023</v>
      </c>
      <c r="O41" s="23">
        <v>2024</v>
      </c>
      <c r="P41" s="22" t="s">
        <v>894</v>
      </c>
      <c r="Q41" s="23" t="s">
        <v>902</v>
      </c>
    </row>
    <row r="42" spans="1:19" x14ac:dyDescent="0.3">
      <c r="J42" s="32"/>
      <c r="K42" s="24" t="s">
        <v>7</v>
      </c>
      <c r="L42" s="18"/>
      <c r="M42" s="62">
        <f>(E16+E30+E36+E60+E66+E74+E80+M9+M24+M38)</f>
        <v>696156.03664000006</v>
      </c>
      <c r="N42" s="25">
        <f>(F16+F30+F36+F60+F66+F74+F80+N9+N24+N38)</f>
        <v>700035.35</v>
      </c>
      <c r="O42" s="71">
        <f>(G16+G30+G36+G60+G66+G74+G80+O9+O24+O38)</f>
        <v>726508.54749999999</v>
      </c>
      <c r="P42" s="42">
        <f>(N42-M42)/M42</f>
        <v>5.5724767951786129E-3</v>
      </c>
      <c r="Q42" s="29">
        <f>(O42-N42)/N42</f>
        <v>3.7816943815765891E-2</v>
      </c>
    </row>
    <row r="44" spans="1:19" x14ac:dyDescent="0.3">
      <c r="E44" s="6" t="s">
        <v>870</v>
      </c>
      <c r="N44" s="6" t="s">
        <v>872</v>
      </c>
    </row>
    <row r="46" spans="1:19" x14ac:dyDescent="0.3">
      <c r="D46" s="6"/>
      <c r="M46" s="6"/>
    </row>
    <row r="47" spans="1:19" x14ac:dyDescent="0.3">
      <c r="S47" s="4"/>
    </row>
    <row r="48" spans="1:19" x14ac:dyDescent="0.3">
      <c r="A48" s="24" t="s">
        <v>325</v>
      </c>
      <c r="B48" s="18"/>
      <c r="C48" s="18"/>
      <c r="D48" s="18"/>
      <c r="E48" s="57" t="s">
        <v>1</v>
      </c>
      <c r="F48" s="22" t="s">
        <v>901</v>
      </c>
      <c r="G48" s="23" t="s">
        <v>2</v>
      </c>
      <c r="H48" s="22" t="s">
        <v>3</v>
      </c>
      <c r="I48" s="23" t="s">
        <v>3</v>
      </c>
    </row>
    <row r="49" spans="1:23" x14ac:dyDescent="0.3">
      <c r="A49" s="18"/>
      <c r="B49" s="18"/>
      <c r="C49" s="18"/>
      <c r="D49" s="18"/>
      <c r="E49" s="57">
        <v>2022</v>
      </c>
      <c r="F49" s="22">
        <v>2023</v>
      </c>
      <c r="G49" s="23">
        <v>2024</v>
      </c>
      <c r="H49" s="22" t="s">
        <v>894</v>
      </c>
      <c r="I49" s="23" t="s">
        <v>902</v>
      </c>
    </row>
    <row r="50" spans="1:23" x14ac:dyDescent="0.3">
      <c r="A50" s="18" t="s">
        <v>326</v>
      </c>
      <c r="B50" s="18" t="s">
        <v>305</v>
      </c>
      <c r="C50" s="18"/>
      <c r="D50" s="18"/>
      <c r="E50" s="129">
        <v>7500</v>
      </c>
      <c r="F50" s="123">
        <v>7500</v>
      </c>
      <c r="G50" s="124">
        <v>7500</v>
      </c>
      <c r="H50" s="41">
        <f>(F50-E50)/E50</f>
        <v>0</v>
      </c>
      <c r="I50" s="27">
        <f>(G50-F50)/F50</f>
        <v>0</v>
      </c>
    </row>
    <row r="51" spans="1:23" x14ac:dyDescent="0.3">
      <c r="A51" s="18" t="s">
        <v>327</v>
      </c>
      <c r="B51" s="18" t="s">
        <v>321</v>
      </c>
      <c r="C51" s="18"/>
      <c r="D51" s="18"/>
      <c r="E51" s="129">
        <v>1500</v>
      </c>
      <c r="F51" s="123">
        <v>800</v>
      </c>
      <c r="G51" s="124">
        <v>800</v>
      </c>
      <c r="H51" s="41">
        <f t="shared" ref="H51:H60" si="13">(F51-E51)/E51</f>
        <v>-0.46666666666666667</v>
      </c>
      <c r="I51" s="27">
        <f t="shared" ref="I51:I60" si="14">(G51-F51)/F51</f>
        <v>0</v>
      </c>
      <c r="R51" s="4"/>
      <c r="U51" s="11"/>
      <c r="W51" s="5"/>
    </row>
    <row r="52" spans="1:23" x14ac:dyDescent="0.3">
      <c r="A52" s="18" t="s">
        <v>328</v>
      </c>
      <c r="B52" s="18" t="s">
        <v>833</v>
      </c>
      <c r="C52" s="18"/>
      <c r="D52" s="18"/>
      <c r="E52" s="129">
        <f>(E50)*0.062</f>
        <v>465</v>
      </c>
      <c r="F52" s="123">
        <f>(F50)*0.062</f>
        <v>465</v>
      </c>
      <c r="G52" s="124">
        <f>(G50)*0.062</f>
        <v>465</v>
      </c>
      <c r="H52" s="41">
        <f t="shared" si="13"/>
        <v>0</v>
      </c>
      <c r="I52" s="27">
        <f t="shared" si="14"/>
        <v>0</v>
      </c>
    </row>
    <row r="53" spans="1:23" x14ac:dyDescent="0.3">
      <c r="A53" s="18" t="s">
        <v>329</v>
      </c>
      <c r="B53" s="18" t="s">
        <v>307</v>
      </c>
      <c r="C53" s="18"/>
      <c r="D53" s="18"/>
      <c r="E53" s="129">
        <f>(E50)*0.0145</f>
        <v>108.75</v>
      </c>
      <c r="F53" s="123">
        <f>(F50)*0.0145</f>
        <v>108.75</v>
      </c>
      <c r="G53" s="124">
        <f>(G50)*0.0145</f>
        <v>108.75</v>
      </c>
      <c r="H53" s="41">
        <f t="shared" si="13"/>
        <v>0</v>
      </c>
      <c r="I53" s="27">
        <f t="shared" si="14"/>
        <v>0</v>
      </c>
    </row>
    <row r="54" spans="1:23" x14ac:dyDescent="0.3">
      <c r="A54" s="18" t="s">
        <v>330</v>
      </c>
      <c r="B54" s="18" t="s">
        <v>322</v>
      </c>
      <c r="C54" s="18"/>
      <c r="D54" s="18"/>
      <c r="E54" s="129">
        <f>(E50)*0.0675</f>
        <v>506.25000000000006</v>
      </c>
      <c r="F54" s="123">
        <f>(F50)*0.068</f>
        <v>510.00000000000006</v>
      </c>
      <c r="G54" s="124">
        <f>(G50)*0.069</f>
        <v>517.5</v>
      </c>
      <c r="H54" s="41">
        <f t="shared" si="13"/>
        <v>7.4074074074074068E-3</v>
      </c>
      <c r="I54" s="27">
        <f t="shared" si="14"/>
        <v>1.4705882352941064E-2</v>
      </c>
    </row>
    <row r="55" spans="1:23" x14ac:dyDescent="0.3">
      <c r="A55" s="18" t="s">
        <v>331</v>
      </c>
      <c r="B55" s="18" t="s">
        <v>336</v>
      </c>
      <c r="C55" s="18"/>
      <c r="D55" s="18"/>
      <c r="E55" s="129">
        <v>0</v>
      </c>
      <c r="F55" s="123">
        <v>0</v>
      </c>
      <c r="G55" s="124">
        <v>0</v>
      </c>
      <c r="H55" s="41" t="e">
        <f t="shared" si="13"/>
        <v>#DIV/0!</v>
      </c>
      <c r="I55" s="27" t="e">
        <f t="shared" si="14"/>
        <v>#DIV/0!</v>
      </c>
    </row>
    <row r="56" spans="1:23" x14ac:dyDescent="0.3">
      <c r="A56" s="18" t="s">
        <v>332</v>
      </c>
      <c r="B56" s="18" t="s">
        <v>308</v>
      </c>
      <c r="C56" s="18"/>
      <c r="D56" s="18"/>
      <c r="E56" s="129">
        <v>500</v>
      </c>
      <c r="F56" s="123">
        <v>250</v>
      </c>
      <c r="G56" s="124">
        <v>200</v>
      </c>
      <c r="H56" s="41">
        <f t="shared" si="13"/>
        <v>-0.5</v>
      </c>
      <c r="I56" s="27">
        <f t="shared" si="14"/>
        <v>-0.2</v>
      </c>
    </row>
    <row r="57" spans="1:23" x14ac:dyDescent="0.3">
      <c r="A57" s="18" t="s">
        <v>333</v>
      </c>
      <c r="B57" s="18" t="s">
        <v>309</v>
      </c>
      <c r="C57" s="18"/>
      <c r="D57" s="18"/>
      <c r="E57" s="129">
        <v>1600</v>
      </c>
      <c r="F57" s="123">
        <v>1000</v>
      </c>
      <c r="G57" s="124">
        <v>1200</v>
      </c>
      <c r="H57" s="41">
        <f t="shared" si="13"/>
        <v>-0.375</v>
      </c>
      <c r="I57" s="27">
        <f t="shared" si="14"/>
        <v>0.2</v>
      </c>
    </row>
    <row r="58" spans="1:23" x14ac:dyDescent="0.3">
      <c r="A58" s="18" t="s">
        <v>334</v>
      </c>
      <c r="B58" s="18" t="s">
        <v>337</v>
      </c>
      <c r="C58" s="18"/>
      <c r="D58" s="18"/>
      <c r="E58" s="129">
        <v>1000</v>
      </c>
      <c r="F58" s="123">
        <v>0</v>
      </c>
      <c r="G58" s="124">
        <v>250</v>
      </c>
      <c r="H58" s="41">
        <f t="shared" si="13"/>
        <v>-1</v>
      </c>
      <c r="I58" s="27" t="e">
        <f t="shared" si="14"/>
        <v>#DIV/0!</v>
      </c>
    </row>
    <row r="59" spans="1:23" x14ac:dyDescent="0.3">
      <c r="A59" s="18" t="s">
        <v>335</v>
      </c>
      <c r="B59" s="18" t="s">
        <v>338</v>
      </c>
      <c r="C59" s="18"/>
      <c r="D59" s="18"/>
      <c r="E59" s="129">
        <v>4000</v>
      </c>
      <c r="F59" s="123">
        <v>1000</v>
      </c>
      <c r="G59" s="124">
        <v>1500</v>
      </c>
      <c r="H59" s="41">
        <f t="shared" si="13"/>
        <v>-0.75</v>
      </c>
      <c r="I59" s="27">
        <f t="shared" si="14"/>
        <v>0.5</v>
      </c>
    </row>
    <row r="60" spans="1:23" x14ac:dyDescent="0.3">
      <c r="A60" s="18"/>
      <c r="B60" s="24" t="s">
        <v>7</v>
      </c>
      <c r="C60" s="18"/>
      <c r="D60" s="18"/>
      <c r="E60" s="130">
        <f>SUM(E50:E59)</f>
        <v>17180</v>
      </c>
      <c r="F60" s="125">
        <f>SUM(F50:F59)</f>
        <v>11633.75</v>
      </c>
      <c r="G60" s="126">
        <f>SUM(G50:G59)</f>
        <v>12541.25</v>
      </c>
      <c r="H60" s="42">
        <f t="shared" si="13"/>
        <v>-0.32283178114086147</v>
      </c>
      <c r="I60" s="29">
        <f t="shared" si="14"/>
        <v>7.8005802084452569E-2</v>
      </c>
    </row>
    <row r="61" spans="1:23" x14ac:dyDescent="0.3">
      <c r="F61" s="60"/>
      <c r="G61" s="60"/>
    </row>
    <row r="62" spans="1:23" x14ac:dyDescent="0.3">
      <c r="F62" s="60"/>
      <c r="G62" s="60"/>
    </row>
    <row r="63" spans="1:23" x14ac:dyDescent="0.3">
      <c r="A63" s="24" t="s">
        <v>339</v>
      </c>
      <c r="B63" s="18"/>
      <c r="C63" s="18"/>
      <c r="D63" s="18"/>
      <c r="E63" s="57" t="s">
        <v>1</v>
      </c>
      <c r="F63" s="22" t="s">
        <v>901</v>
      </c>
      <c r="G63" s="23" t="s">
        <v>2</v>
      </c>
      <c r="H63" s="22" t="s">
        <v>3</v>
      </c>
      <c r="I63" s="23" t="s">
        <v>3</v>
      </c>
    </row>
    <row r="64" spans="1:23" x14ac:dyDescent="0.3">
      <c r="A64" s="18"/>
      <c r="B64" s="18"/>
      <c r="C64" s="18"/>
      <c r="D64" s="18"/>
      <c r="E64" s="57">
        <v>2022</v>
      </c>
      <c r="F64" s="22">
        <v>2023</v>
      </c>
      <c r="G64" s="23">
        <v>2024</v>
      </c>
      <c r="H64" s="22" t="s">
        <v>894</v>
      </c>
      <c r="I64" s="23" t="s">
        <v>902</v>
      </c>
    </row>
    <row r="65" spans="1:9" x14ac:dyDescent="0.3">
      <c r="A65" s="18" t="s">
        <v>340</v>
      </c>
      <c r="B65" s="18" t="s">
        <v>341</v>
      </c>
      <c r="C65" s="18"/>
      <c r="D65" s="18"/>
      <c r="E65" s="129">
        <v>18000</v>
      </c>
      <c r="F65" s="123">
        <v>12000</v>
      </c>
      <c r="G65" s="124">
        <v>12500</v>
      </c>
      <c r="H65" s="41">
        <f>(F65-E65)/E65</f>
        <v>-0.33333333333333331</v>
      </c>
      <c r="I65" s="27">
        <f>(G65-F65)/F65</f>
        <v>4.1666666666666664E-2</v>
      </c>
    </row>
    <row r="66" spans="1:9" x14ac:dyDescent="0.3">
      <c r="A66" s="18"/>
      <c r="B66" s="24" t="s">
        <v>7</v>
      </c>
      <c r="C66" s="24"/>
      <c r="D66" s="18"/>
      <c r="E66" s="130">
        <f>(E65)</f>
        <v>18000</v>
      </c>
      <c r="F66" s="125">
        <f>(F65)</f>
        <v>12000</v>
      </c>
      <c r="G66" s="126">
        <v>12500</v>
      </c>
      <c r="H66" s="42">
        <f>(F66-E66)/E66</f>
        <v>-0.33333333333333331</v>
      </c>
      <c r="I66" s="29">
        <f>(G66-F66)/F66</f>
        <v>4.1666666666666664E-2</v>
      </c>
    </row>
    <row r="67" spans="1:9" x14ac:dyDescent="0.3">
      <c r="F67" s="60"/>
      <c r="G67" s="60"/>
    </row>
    <row r="68" spans="1:9" x14ac:dyDescent="0.3">
      <c r="F68" s="60"/>
      <c r="G68" s="60"/>
    </row>
    <row r="69" spans="1:9" x14ac:dyDescent="0.3">
      <c r="A69" s="24" t="s">
        <v>342</v>
      </c>
      <c r="B69" s="18"/>
      <c r="C69" s="18"/>
      <c r="D69" s="18"/>
      <c r="E69" s="57" t="s">
        <v>1</v>
      </c>
      <c r="F69" s="22" t="s">
        <v>901</v>
      </c>
      <c r="G69" s="23" t="s">
        <v>2</v>
      </c>
      <c r="H69" s="22" t="s">
        <v>3</v>
      </c>
      <c r="I69" s="23" t="s">
        <v>3</v>
      </c>
    </row>
    <row r="70" spans="1:9" x14ac:dyDescent="0.3">
      <c r="A70" s="18"/>
      <c r="B70" s="18"/>
      <c r="C70" s="18"/>
      <c r="D70" s="18"/>
      <c r="E70" s="57">
        <v>2022</v>
      </c>
      <c r="F70" s="22">
        <v>2023</v>
      </c>
      <c r="G70" s="23">
        <v>2024</v>
      </c>
      <c r="H70" s="22" t="s">
        <v>894</v>
      </c>
      <c r="I70" s="23" t="s">
        <v>902</v>
      </c>
    </row>
    <row r="71" spans="1:9" x14ac:dyDescent="0.3">
      <c r="A71" s="18" t="s">
        <v>343</v>
      </c>
      <c r="B71" s="18" t="s">
        <v>346</v>
      </c>
      <c r="C71" s="18"/>
      <c r="D71" s="18"/>
      <c r="E71" s="129">
        <v>20000</v>
      </c>
      <c r="F71" s="123">
        <v>20000</v>
      </c>
      <c r="G71" s="124">
        <v>20000</v>
      </c>
      <c r="H71" s="41">
        <f>(F71-E71)/E71</f>
        <v>0</v>
      </c>
      <c r="I71" s="27">
        <f>(G71-F71)/F71</f>
        <v>0</v>
      </c>
    </row>
    <row r="72" spans="1:9" x14ac:dyDescent="0.3">
      <c r="A72" s="18" t="s">
        <v>344</v>
      </c>
      <c r="B72" s="18" t="s">
        <v>347</v>
      </c>
      <c r="C72" s="18"/>
      <c r="D72" s="18"/>
      <c r="E72" s="129">
        <v>1000</v>
      </c>
      <c r="F72" s="123">
        <v>1000</v>
      </c>
      <c r="G72" s="124">
        <v>1000</v>
      </c>
      <c r="H72" s="41">
        <f>(F72-E72)/E72</f>
        <v>0</v>
      </c>
      <c r="I72" s="27">
        <f t="shared" ref="I72:I74" si="15">(G72-F72)/F72</f>
        <v>0</v>
      </c>
    </row>
    <row r="73" spans="1:9" x14ac:dyDescent="0.3">
      <c r="A73" s="18" t="s">
        <v>345</v>
      </c>
      <c r="B73" s="18" t="s">
        <v>348</v>
      </c>
      <c r="C73" s="18"/>
      <c r="D73" s="18"/>
      <c r="E73" s="129">
        <v>1000</v>
      </c>
      <c r="F73" s="123">
        <v>1000</v>
      </c>
      <c r="G73" s="124">
        <v>1000</v>
      </c>
      <c r="H73" s="41">
        <f>(F73-E73)/E73</f>
        <v>0</v>
      </c>
      <c r="I73" s="27">
        <f t="shared" si="15"/>
        <v>0</v>
      </c>
    </row>
    <row r="74" spans="1:9" x14ac:dyDescent="0.3">
      <c r="A74" s="18"/>
      <c r="B74" s="24" t="s">
        <v>7</v>
      </c>
      <c r="C74" s="24"/>
      <c r="D74" s="18"/>
      <c r="E74" s="130">
        <f>SUM(E71:E73)</f>
        <v>22000</v>
      </c>
      <c r="F74" s="125">
        <f>SUM(F71:F73)</f>
        <v>22000</v>
      </c>
      <c r="G74" s="126">
        <f>SUM(G71:G73)</f>
        <v>22000</v>
      </c>
      <c r="H74" s="41">
        <f>(F74-E74)/E74</f>
        <v>0</v>
      </c>
      <c r="I74" s="29">
        <f t="shared" si="15"/>
        <v>0</v>
      </c>
    </row>
    <row r="75" spans="1:9" x14ac:dyDescent="0.3">
      <c r="E75" s="4"/>
      <c r="G75" s="60"/>
    </row>
    <row r="76" spans="1:9" x14ac:dyDescent="0.3">
      <c r="A76" s="24" t="s">
        <v>349</v>
      </c>
      <c r="B76" s="18"/>
      <c r="C76" s="18"/>
      <c r="D76" s="18"/>
      <c r="E76" s="57" t="s">
        <v>1</v>
      </c>
      <c r="F76" s="22" t="s">
        <v>901</v>
      </c>
      <c r="G76" s="23" t="s">
        <v>2</v>
      </c>
      <c r="H76" s="22" t="s">
        <v>3</v>
      </c>
      <c r="I76" s="23" t="s">
        <v>3</v>
      </c>
    </row>
    <row r="77" spans="1:9" x14ac:dyDescent="0.3">
      <c r="A77" s="18"/>
      <c r="B77" s="18"/>
      <c r="C77" s="18"/>
      <c r="D77" s="18"/>
      <c r="E77" s="57">
        <v>2022</v>
      </c>
      <c r="F77" s="22">
        <v>2023</v>
      </c>
      <c r="G77" s="23">
        <v>2024</v>
      </c>
      <c r="H77" s="22" t="s">
        <v>894</v>
      </c>
      <c r="I77" s="23" t="s">
        <v>902</v>
      </c>
    </row>
    <row r="78" spans="1:9" x14ac:dyDescent="0.3">
      <c r="A78" s="18" t="s">
        <v>350</v>
      </c>
      <c r="B78" s="18" t="s">
        <v>352</v>
      </c>
      <c r="C78" s="18"/>
      <c r="D78" s="18"/>
      <c r="E78" s="129">
        <v>126000</v>
      </c>
      <c r="F78" s="123">
        <v>150554</v>
      </c>
      <c r="G78" s="124">
        <v>125000</v>
      </c>
      <c r="H78" s="41">
        <f>(F78-E78)/E78</f>
        <v>0.19487301587301586</v>
      </c>
      <c r="I78" s="27">
        <f>(G78-F78)/F78</f>
        <v>-0.1697331190137758</v>
      </c>
    </row>
    <row r="79" spans="1:9" x14ac:dyDescent="0.3">
      <c r="A79" s="18" t="s">
        <v>351</v>
      </c>
      <c r="B79" s="18" t="s">
        <v>353</v>
      </c>
      <c r="C79" s="18"/>
      <c r="D79" s="18"/>
      <c r="E79" s="129">
        <v>600</v>
      </c>
      <c r="F79" s="123">
        <v>600</v>
      </c>
      <c r="G79" s="124">
        <v>1000</v>
      </c>
      <c r="H79" s="41">
        <f>(F79-E79)/E79</f>
        <v>0</v>
      </c>
      <c r="I79" s="27">
        <f t="shared" ref="I79:I80" si="16">(G79-F79)/F79</f>
        <v>0.66666666666666663</v>
      </c>
    </row>
    <row r="80" spans="1:9" x14ac:dyDescent="0.3">
      <c r="A80" s="18"/>
      <c r="B80" s="24" t="s">
        <v>7</v>
      </c>
      <c r="C80" s="24"/>
      <c r="D80" s="18"/>
      <c r="E80" s="130">
        <f>SUM(E78:E79)</f>
        <v>126600</v>
      </c>
      <c r="F80" s="125">
        <f>SUM(F78:F79)</f>
        <v>151154</v>
      </c>
      <c r="G80" s="126">
        <f>SUM(G78:G79)</f>
        <v>126000</v>
      </c>
      <c r="H80" s="42">
        <f>(F80-E80)/E80</f>
        <v>0.19394944707740916</v>
      </c>
      <c r="I80" s="29">
        <f t="shared" si="16"/>
        <v>-0.16641306217500032</v>
      </c>
    </row>
    <row r="81" spans="4:5" x14ac:dyDescent="0.3">
      <c r="E81" s="4"/>
    </row>
    <row r="88" spans="4:5" x14ac:dyDescent="0.3">
      <c r="E88" s="6" t="s">
        <v>871</v>
      </c>
    </row>
    <row r="93" spans="4:5" x14ac:dyDescent="0.3">
      <c r="D93" s="6"/>
    </row>
  </sheetData>
  <printOptions gridLines="1"/>
  <pageMargins left="0.75231481481481477" right="1" top="1" bottom="1" header="0.5" footer="0.5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U93"/>
  <sheetViews>
    <sheetView showWhiteSpace="0" view="pageLayout" zoomScale="90" zoomScaleNormal="80" zoomScalePageLayoutView="90" workbookViewId="0">
      <selection activeCell="E27" sqref="E27"/>
    </sheetView>
  </sheetViews>
  <sheetFormatPr defaultRowHeight="14.4" x14ac:dyDescent="0.3"/>
  <cols>
    <col min="1" max="1" width="10" customWidth="1"/>
    <col min="4" max="4" width="13.109375" bestFit="1" customWidth="1"/>
    <col min="5" max="6" width="10.44140625" bestFit="1" customWidth="1"/>
    <col min="7" max="7" width="9.44140625" customWidth="1"/>
    <col min="8" max="9" width="9.5546875" customWidth="1"/>
    <col min="20" max="20" width="9.33203125" bestFit="1" customWidth="1"/>
  </cols>
  <sheetData>
    <row r="6" spans="1:21" x14ac:dyDescent="0.3">
      <c r="A6" s="24" t="s">
        <v>388</v>
      </c>
      <c r="B6" s="18"/>
      <c r="C6" s="18"/>
      <c r="D6" s="57" t="s">
        <v>1</v>
      </c>
      <c r="E6" s="22" t="s">
        <v>901</v>
      </c>
      <c r="F6" s="23" t="s">
        <v>2</v>
      </c>
      <c r="G6" s="22" t="s">
        <v>3</v>
      </c>
      <c r="H6" s="23" t="s">
        <v>3</v>
      </c>
    </row>
    <row r="7" spans="1:21" x14ac:dyDescent="0.3">
      <c r="A7" s="18"/>
      <c r="B7" s="18"/>
      <c r="C7" s="18"/>
      <c r="D7" s="57">
        <v>2022</v>
      </c>
      <c r="E7" s="22">
        <v>2023</v>
      </c>
      <c r="F7" s="23">
        <v>2024</v>
      </c>
      <c r="G7" s="22" t="s">
        <v>894</v>
      </c>
      <c r="H7" s="23" t="s">
        <v>902</v>
      </c>
    </row>
    <row r="8" spans="1:21" x14ac:dyDescent="0.3">
      <c r="A8" s="18" t="s">
        <v>374</v>
      </c>
      <c r="B8" s="18" t="s">
        <v>305</v>
      </c>
      <c r="C8" s="18"/>
      <c r="D8" s="129">
        <v>600000</v>
      </c>
      <c r="E8" s="132">
        <v>625000</v>
      </c>
      <c r="F8" s="124">
        <v>575000</v>
      </c>
      <c r="G8" s="41">
        <f>(E8-D8)/D8</f>
        <v>4.1666666666666664E-2</v>
      </c>
      <c r="H8" s="27">
        <f>(F8-E8)/E8</f>
        <v>-0.08</v>
      </c>
    </row>
    <row r="9" spans="1:21" x14ac:dyDescent="0.3">
      <c r="A9" s="18" t="s">
        <v>375</v>
      </c>
      <c r="B9" s="18" t="s">
        <v>321</v>
      </c>
      <c r="C9" s="18"/>
      <c r="D9" s="129">
        <v>97000</v>
      </c>
      <c r="E9" s="132">
        <v>104203</v>
      </c>
      <c r="F9" s="124">
        <v>100000</v>
      </c>
      <c r="G9" s="41">
        <f t="shared" ref="G9:G26" si="0">(E9-D9)/D9</f>
        <v>7.4257731958762882E-2</v>
      </c>
      <c r="H9" s="27">
        <f t="shared" ref="H9:H27" si="1">(F9-E9)/E9</f>
        <v>-4.0334731245741488E-2</v>
      </c>
    </row>
    <row r="10" spans="1:21" x14ac:dyDescent="0.3">
      <c r="A10" s="18" t="s">
        <v>376</v>
      </c>
      <c r="B10" s="18" t="s">
        <v>306</v>
      </c>
      <c r="C10" s="18"/>
      <c r="D10" s="129">
        <f>(D8)*0.062</f>
        <v>37200</v>
      </c>
      <c r="E10" s="123">
        <f>(E8)*0.062</f>
        <v>38750</v>
      </c>
      <c r="F10" s="124">
        <f>(F8)*0.062</f>
        <v>35650</v>
      </c>
      <c r="G10" s="41">
        <f t="shared" si="0"/>
        <v>4.1666666666666664E-2</v>
      </c>
      <c r="H10" s="27">
        <f t="shared" si="1"/>
        <v>-0.08</v>
      </c>
    </row>
    <row r="11" spans="1:21" x14ac:dyDescent="0.3">
      <c r="A11" s="18" t="s">
        <v>377</v>
      </c>
      <c r="B11" s="18" t="s">
        <v>307</v>
      </c>
      <c r="C11" s="18"/>
      <c r="D11" s="129">
        <f>(D8)*0.0145</f>
        <v>8700</v>
      </c>
      <c r="E11" s="123">
        <f>(E8)*0.0145</f>
        <v>9062.5</v>
      </c>
      <c r="F11" s="124">
        <f>(F8)*0.0145</f>
        <v>8337.5</v>
      </c>
      <c r="G11" s="41">
        <f t="shared" si="0"/>
        <v>4.1666666666666664E-2</v>
      </c>
      <c r="H11" s="27">
        <f t="shared" si="1"/>
        <v>-0.08</v>
      </c>
    </row>
    <row r="12" spans="1:21" x14ac:dyDescent="0.3">
      <c r="A12" s="18" t="s">
        <v>378</v>
      </c>
      <c r="B12" s="18" t="s">
        <v>322</v>
      </c>
      <c r="C12" s="18"/>
      <c r="D12" s="129">
        <f>(D8)*0.1184</f>
        <v>71040</v>
      </c>
      <c r="E12" s="123">
        <f>(E8)*0.132</f>
        <v>82500</v>
      </c>
      <c r="F12" s="124">
        <f>(F8)*0.143</f>
        <v>82225</v>
      </c>
      <c r="G12" s="41">
        <f t="shared" si="0"/>
        <v>0.16131756756756757</v>
      </c>
      <c r="H12" s="27">
        <f t="shared" si="1"/>
        <v>-3.3333333333333335E-3</v>
      </c>
    </row>
    <row r="13" spans="1:21" x14ac:dyDescent="0.3">
      <c r="A13" s="18" t="s">
        <v>379</v>
      </c>
      <c r="B13" s="18" t="s">
        <v>336</v>
      </c>
      <c r="C13" s="18"/>
      <c r="D13" s="129">
        <v>4000</v>
      </c>
      <c r="E13" s="132">
        <v>4000</v>
      </c>
      <c r="F13" s="124">
        <v>4000</v>
      </c>
      <c r="G13" s="41">
        <f t="shared" si="0"/>
        <v>0</v>
      </c>
      <c r="H13" s="27">
        <f t="shared" si="1"/>
        <v>0</v>
      </c>
      <c r="U13" s="13"/>
    </row>
    <row r="14" spans="1:21" x14ac:dyDescent="0.3">
      <c r="A14" s="18" t="s">
        <v>895</v>
      </c>
      <c r="B14" s="18" t="s">
        <v>418</v>
      </c>
      <c r="C14" s="18"/>
      <c r="D14" s="123">
        <v>8000</v>
      </c>
      <c r="E14" s="123">
        <v>3000</v>
      </c>
      <c r="F14" s="124">
        <v>4000</v>
      </c>
      <c r="G14" s="41">
        <f t="shared" si="0"/>
        <v>-0.625</v>
      </c>
      <c r="H14" s="27">
        <f t="shared" si="1"/>
        <v>0.33333333333333331</v>
      </c>
    </row>
    <row r="15" spans="1:21" x14ac:dyDescent="0.3">
      <c r="A15" s="18" t="s">
        <v>896</v>
      </c>
      <c r="B15" s="18" t="s">
        <v>857</v>
      </c>
      <c r="C15" s="18"/>
      <c r="D15" s="123">
        <v>0</v>
      </c>
      <c r="E15" s="123">
        <v>1500</v>
      </c>
      <c r="F15" s="124">
        <v>2000</v>
      </c>
      <c r="G15" s="41" t="e">
        <f t="shared" si="0"/>
        <v>#DIV/0!</v>
      </c>
      <c r="H15" s="27">
        <f t="shared" si="1"/>
        <v>0.33333333333333331</v>
      </c>
    </row>
    <row r="16" spans="1:21" x14ac:dyDescent="0.3">
      <c r="A16" s="18" t="s">
        <v>897</v>
      </c>
      <c r="B16" s="18" t="s">
        <v>366</v>
      </c>
      <c r="C16" s="18"/>
      <c r="D16" s="123">
        <v>0</v>
      </c>
      <c r="E16" s="123">
        <v>3600</v>
      </c>
      <c r="F16" s="124">
        <v>3600</v>
      </c>
      <c r="G16" s="41" t="e">
        <f t="shared" si="0"/>
        <v>#DIV/0!</v>
      </c>
      <c r="H16" s="27">
        <f t="shared" si="1"/>
        <v>0</v>
      </c>
    </row>
    <row r="17" spans="1:8" x14ac:dyDescent="0.3">
      <c r="A17" s="18" t="s">
        <v>898</v>
      </c>
      <c r="B17" s="18" t="s">
        <v>859</v>
      </c>
      <c r="C17" s="18"/>
      <c r="D17" s="123">
        <v>0</v>
      </c>
      <c r="E17" s="123">
        <v>3500</v>
      </c>
      <c r="F17" s="124">
        <v>3500</v>
      </c>
      <c r="G17" s="41" t="e">
        <f t="shared" si="0"/>
        <v>#DIV/0!</v>
      </c>
      <c r="H17" s="27">
        <f t="shared" si="1"/>
        <v>0</v>
      </c>
    </row>
    <row r="18" spans="1:8" x14ac:dyDescent="0.3">
      <c r="A18" s="18" t="s">
        <v>380</v>
      </c>
      <c r="B18" s="18" t="s">
        <v>308</v>
      </c>
      <c r="C18" s="18"/>
      <c r="D18" s="129">
        <v>8000</v>
      </c>
      <c r="E18" s="132">
        <v>5000</v>
      </c>
      <c r="F18" s="124">
        <v>5000</v>
      </c>
      <c r="G18" s="41">
        <f t="shared" si="0"/>
        <v>-0.375</v>
      </c>
      <c r="H18" s="27">
        <f t="shared" si="1"/>
        <v>0</v>
      </c>
    </row>
    <row r="19" spans="1:8" x14ac:dyDescent="0.3">
      <c r="A19" s="18" t="s">
        <v>381</v>
      </c>
      <c r="B19" s="18" t="s">
        <v>309</v>
      </c>
      <c r="C19" s="18"/>
      <c r="D19" s="129">
        <v>500</v>
      </c>
      <c r="E19" s="132">
        <v>500</v>
      </c>
      <c r="F19" s="124">
        <v>3000</v>
      </c>
      <c r="G19" s="41">
        <f t="shared" si="0"/>
        <v>0</v>
      </c>
      <c r="H19" s="27">
        <f t="shared" si="1"/>
        <v>5</v>
      </c>
    </row>
    <row r="20" spans="1:8" x14ac:dyDescent="0.3">
      <c r="A20" s="18" t="s">
        <v>382</v>
      </c>
      <c r="B20" s="18" t="s">
        <v>310</v>
      </c>
      <c r="C20" s="18"/>
      <c r="D20" s="129">
        <v>12000</v>
      </c>
      <c r="E20" s="132">
        <v>10000</v>
      </c>
      <c r="F20" s="124">
        <v>10000</v>
      </c>
      <c r="G20" s="41">
        <f t="shared" si="0"/>
        <v>-0.16666666666666666</v>
      </c>
      <c r="H20" s="27">
        <f t="shared" si="1"/>
        <v>0</v>
      </c>
    </row>
    <row r="21" spans="1:8" x14ac:dyDescent="0.3">
      <c r="A21" s="18" t="s">
        <v>383</v>
      </c>
      <c r="B21" s="18" t="s">
        <v>389</v>
      </c>
      <c r="C21" s="18"/>
      <c r="D21" s="129">
        <v>35000</v>
      </c>
      <c r="E21" s="132">
        <v>35000</v>
      </c>
      <c r="F21" s="124">
        <v>35000</v>
      </c>
      <c r="G21" s="41">
        <f t="shared" si="0"/>
        <v>0</v>
      </c>
      <c r="H21" s="27">
        <f t="shared" si="1"/>
        <v>0</v>
      </c>
    </row>
    <row r="22" spans="1:8" x14ac:dyDescent="0.3">
      <c r="A22" s="18" t="s">
        <v>384</v>
      </c>
      <c r="B22" s="18" t="s">
        <v>390</v>
      </c>
      <c r="C22" s="18"/>
      <c r="D22" s="129">
        <v>500</v>
      </c>
      <c r="E22" s="132">
        <v>3500</v>
      </c>
      <c r="F22" s="124">
        <v>6000</v>
      </c>
      <c r="G22" s="41">
        <f t="shared" si="0"/>
        <v>6</v>
      </c>
      <c r="H22" s="27">
        <f t="shared" si="1"/>
        <v>0.7142857142857143</v>
      </c>
    </row>
    <row r="23" spans="1:8" x14ac:dyDescent="0.3">
      <c r="A23" s="18" t="s">
        <v>385</v>
      </c>
      <c r="B23" s="18" t="s">
        <v>391</v>
      </c>
      <c r="C23" s="18"/>
      <c r="D23" s="129">
        <v>16000</v>
      </c>
      <c r="E23" s="132">
        <v>16000</v>
      </c>
      <c r="F23" s="124">
        <v>16000</v>
      </c>
      <c r="G23" s="41">
        <f t="shared" si="0"/>
        <v>0</v>
      </c>
      <c r="H23" s="27">
        <f t="shared" si="1"/>
        <v>0</v>
      </c>
    </row>
    <row r="24" spans="1:8" x14ac:dyDescent="0.3">
      <c r="A24" s="18" t="s">
        <v>385</v>
      </c>
      <c r="B24" s="18" t="s">
        <v>392</v>
      </c>
      <c r="C24" s="18"/>
      <c r="D24" s="129">
        <v>8000</v>
      </c>
      <c r="E24" s="132">
        <v>7500</v>
      </c>
      <c r="F24" s="124">
        <v>7500</v>
      </c>
      <c r="G24" s="41">
        <f t="shared" si="0"/>
        <v>-6.25E-2</v>
      </c>
      <c r="H24" s="27">
        <f t="shared" si="1"/>
        <v>0</v>
      </c>
    </row>
    <row r="25" spans="1:8" x14ac:dyDescent="0.3">
      <c r="A25" s="18" t="s">
        <v>386</v>
      </c>
      <c r="B25" s="18" t="s">
        <v>393</v>
      </c>
      <c r="C25" s="18"/>
      <c r="D25" s="129">
        <v>8200</v>
      </c>
      <c r="E25" s="132">
        <v>8200</v>
      </c>
      <c r="F25" s="124">
        <v>8200</v>
      </c>
      <c r="G25" s="41">
        <f t="shared" si="0"/>
        <v>0</v>
      </c>
      <c r="H25" s="27">
        <f t="shared" si="1"/>
        <v>0</v>
      </c>
    </row>
    <row r="26" spans="1:8" x14ac:dyDescent="0.3">
      <c r="A26" s="18" t="s">
        <v>387</v>
      </c>
      <c r="B26" s="18" t="s">
        <v>394</v>
      </c>
      <c r="C26" s="18"/>
      <c r="D26" s="129">
        <v>0</v>
      </c>
      <c r="E26" s="132">
        <v>0</v>
      </c>
      <c r="F26" s="124">
        <v>0</v>
      </c>
      <c r="G26" s="41" t="e">
        <f t="shared" si="0"/>
        <v>#DIV/0!</v>
      </c>
      <c r="H26" s="27" t="e">
        <f t="shared" si="1"/>
        <v>#DIV/0!</v>
      </c>
    </row>
    <row r="27" spans="1:8" x14ac:dyDescent="0.3">
      <c r="A27" s="18"/>
      <c r="B27" s="24" t="s">
        <v>7</v>
      </c>
      <c r="C27" s="24"/>
      <c r="D27" s="133">
        <f>SUM(D8:D26)</f>
        <v>914140</v>
      </c>
      <c r="E27" s="134">
        <f>SUM(E8:E26)</f>
        <v>960815.5</v>
      </c>
      <c r="F27" s="126">
        <f>SUM(F8:F26)</f>
        <v>909012.5</v>
      </c>
      <c r="G27" s="42">
        <f>(E27-D27)/E27</f>
        <v>4.8579045612815362E-2</v>
      </c>
      <c r="H27" s="29">
        <f t="shared" si="1"/>
        <v>-5.3915658105016001E-2</v>
      </c>
    </row>
    <row r="31" spans="1:8" x14ac:dyDescent="0.3">
      <c r="A31" s="24" t="s">
        <v>432</v>
      </c>
      <c r="B31" s="18"/>
      <c r="C31" s="18"/>
      <c r="D31" s="57" t="s">
        <v>1</v>
      </c>
      <c r="E31" s="22" t="s">
        <v>901</v>
      </c>
      <c r="F31" s="23" t="s">
        <v>2</v>
      </c>
      <c r="G31" s="22" t="s">
        <v>3</v>
      </c>
      <c r="H31" s="23" t="s">
        <v>3</v>
      </c>
    </row>
    <row r="32" spans="1:8" x14ac:dyDescent="0.3">
      <c r="A32" s="18"/>
      <c r="B32" s="18"/>
      <c r="C32" s="18"/>
      <c r="D32" s="57">
        <v>2022</v>
      </c>
      <c r="E32" s="22">
        <v>2023</v>
      </c>
      <c r="F32" s="23">
        <v>2024</v>
      </c>
      <c r="G32" s="22" t="s">
        <v>894</v>
      </c>
      <c r="H32" s="23" t="s">
        <v>902</v>
      </c>
    </row>
    <row r="33" spans="1:13" x14ac:dyDescent="0.3">
      <c r="A33" s="18" t="s">
        <v>433</v>
      </c>
      <c r="B33" s="18" t="s">
        <v>435</v>
      </c>
      <c r="C33" s="18"/>
      <c r="D33" s="129">
        <v>13000</v>
      </c>
      <c r="E33" s="123">
        <v>10000</v>
      </c>
      <c r="F33" s="124">
        <v>10000</v>
      </c>
      <c r="G33" s="41">
        <f>(E33-D33)/D33</f>
        <v>-0.23076923076923078</v>
      </c>
      <c r="H33" s="27">
        <f>(F33-E33)/E33</f>
        <v>0</v>
      </c>
    </row>
    <row r="34" spans="1:13" x14ac:dyDescent="0.3">
      <c r="A34" s="18" t="s">
        <v>434</v>
      </c>
      <c r="B34" s="18" t="s">
        <v>436</v>
      </c>
      <c r="C34" s="18"/>
      <c r="D34" s="129">
        <v>15000</v>
      </c>
      <c r="E34" s="123">
        <v>10000</v>
      </c>
      <c r="F34" s="124">
        <v>10000</v>
      </c>
      <c r="G34" s="41">
        <f>(E34-D34)/D34</f>
        <v>-0.33333333333333331</v>
      </c>
      <c r="H34" s="27">
        <f t="shared" ref="H34:H35" si="2">(F34-E34)/E34</f>
        <v>0</v>
      </c>
    </row>
    <row r="35" spans="1:13" x14ac:dyDescent="0.3">
      <c r="A35" s="18"/>
      <c r="B35" s="24" t="s">
        <v>7</v>
      </c>
      <c r="C35" s="24"/>
      <c r="D35" s="130">
        <f>SUM(D33:D34)</f>
        <v>28000</v>
      </c>
      <c r="E35" s="125">
        <f>SUM(E33:E34)</f>
        <v>20000</v>
      </c>
      <c r="F35" s="126">
        <f>SUM(F33:F34)</f>
        <v>20000</v>
      </c>
      <c r="G35" s="42">
        <f>(E35-D35)/D35</f>
        <v>-0.2857142857142857</v>
      </c>
      <c r="H35" s="29">
        <f t="shared" si="2"/>
        <v>0</v>
      </c>
      <c r="M35" s="1"/>
    </row>
    <row r="36" spans="1:13" x14ac:dyDescent="0.3">
      <c r="M36" s="1"/>
    </row>
    <row r="38" spans="1:13" x14ac:dyDescent="0.3">
      <c r="A38" s="24" t="s">
        <v>437</v>
      </c>
      <c r="B38" s="18"/>
      <c r="C38" s="18"/>
      <c r="D38" s="57" t="s">
        <v>1</v>
      </c>
      <c r="E38" s="22" t="s">
        <v>901</v>
      </c>
      <c r="F38" s="23" t="s">
        <v>2</v>
      </c>
      <c r="G38" s="22" t="s">
        <v>3</v>
      </c>
      <c r="H38" s="23" t="s">
        <v>3</v>
      </c>
      <c r="M38" s="5"/>
    </row>
    <row r="39" spans="1:13" x14ac:dyDescent="0.3">
      <c r="A39" s="18"/>
      <c r="B39" s="18"/>
      <c r="C39" s="18"/>
      <c r="D39" s="57">
        <v>2022</v>
      </c>
      <c r="E39" s="22">
        <v>2023</v>
      </c>
      <c r="F39" s="23">
        <v>2024</v>
      </c>
      <c r="G39" s="22" t="s">
        <v>894</v>
      </c>
      <c r="H39" s="23" t="s">
        <v>902</v>
      </c>
      <c r="M39" s="5"/>
    </row>
    <row r="40" spans="1:13" x14ac:dyDescent="0.3">
      <c r="A40" s="18" t="s">
        <v>438</v>
      </c>
      <c r="B40" s="18" t="s">
        <v>440</v>
      </c>
      <c r="C40" s="18"/>
      <c r="D40" s="129">
        <v>500</v>
      </c>
      <c r="E40" s="123">
        <v>500</v>
      </c>
      <c r="F40" s="124">
        <v>500</v>
      </c>
      <c r="G40" s="41">
        <f>(E40-D40)/D40</f>
        <v>0</v>
      </c>
      <c r="H40" s="27">
        <f>(F40-E40)/E40</f>
        <v>0</v>
      </c>
      <c r="M40" s="5"/>
    </row>
    <row r="41" spans="1:13" x14ac:dyDescent="0.3">
      <c r="A41" s="18" t="s">
        <v>439</v>
      </c>
      <c r="B41" s="18" t="s">
        <v>441</v>
      </c>
      <c r="C41" s="18"/>
      <c r="D41" s="129">
        <v>200</v>
      </c>
      <c r="E41" s="123">
        <v>200</v>
      </c>
      <c r="F41" s="124">
        <v>200</v>
      </c>
      <c r="G41" s="41">
        <f>(E41-D41)/D41</f>
        <v>0</v>
      </c>
      <c r="H41" s="27">
        <f t="shared" ref="H41:H42" si="3">(F41-E41)/E41</f>
        <v>0</v>
      </c>
      <c r="M41" s="5"/>
    </row>
    <row r="42" spans="1:13" x14ac:dyDescent="0.3">
      <c r="A42" s="18"/>
      <c r="B42" s="24" t="s">
        <v>7</v>
      </c>
      <c r="C42" s="24"/>
      <c r="D42" s="130">
        <f>SUM(D40:D41)</f>
        <v>700</v>
      </c>
      <c r="E42" s="125">
        <f>SUM(E40:E41)</f>
        <v>700</v>
      </c>
      <c r="F42" s="126">
        <f>SUM(F40:F41)</f>
        <v>700</v>
      </c>
      <c r="G42" s="42">
        <f>(E42-D42)/D42</f>
        <v>0</v>
      </c>
      <c r="H42" s="29">
        <f t="shared" si="3"/>
        <v>0</v>
      </c>
      <c r="M42" s="5"/>
    </row>
    <row r="43" spans="1:13" x14ac:dyDescent="0.3">
      <c r="M43" s="5"/>
    </row>
    <row r="44" spans="1:13" x14ac:dyDescent="0.3">
      <c r="E44" s="6" t="s">
        <v>873</v>
      </c>
      <c r="M44" s="5"/>
    </row>
    <row r="45" spans="1:13" x14ac:dyDescent="0.3">
      <c r="M45" s="5"/>
    </row>
    <row r="46" spans="1:13" x14ac:dyDescent="0.3">
      <c r="D46" s="6"/>
      <c r="M46" s="5"/>
    </row>
    <row r="47" spans="1:13" x14ac:dyDescent="0.3">
      <c r="M47" s="5"/>
    </row>
    <row r="48" spans="1:13" x14ac:dyDescent="0.3">
      <c r="A48" s="24" t="s">
        <v>395</v>
      </c>
      <c r="B48" s="18"/>
      <c r="C48" s="18"/>
      <c r="D48" s="57" t="s">
        <v>1</v>
      </c>
      <c r="E48" s="22" t="s">
        <v>901</v>
      </c>
      <c r="F48" s="23" t="s">
        <v>2</v>
      </c>
      <c r="G48" s="22" t="s">
        <v>3</v>
      </c>
      <c r="H48" s="23" t="s">
        <v>3</v>
      </c>
      <c r="M48" s="5"/>
    </row>
    <row r="49" spans="1:13" x14ac:dyDescent="0.3">
      <c r="A49" s="18"/>
      <c r="B49" s="18"/>
      <c r="C49" s="18"/>
      <c r="D49" s="57">
        <v>2022</v>
      </c>
      <c r="E49" s="22">
        <v>2023</v>
      </c>
      <c r="F49" s="23">
        <v>2024</v>
      </c>
      <c r="G49" s="22" t="s">
        <v>894</v>
      </c>
      <c r="H49" s="23" t="s">
        <v>902</v>
      </c>
      <c r="M49" s="5"/>
    </row>
    <row r="50" spans="1:13" x14ac:dyDescent="0.3">
      <c r="A50" s="18" t="s">
        <v>396</v>
      </c>
      <c r="B50" s="18" t="s">
        <v>305</v>
      </c>
      <c r="C50" s="18"/>
      <c r="D50" s="129">
        <v>85000</v>
      </c>
      <c r="E50" s="123">
        <v>75000</v>
      </c>
      <c r="F50" s="124">
        <v>90000</v>
      </c>
      <c r="G50" s="41">
        <f>(E50-D50)/D50</f>
        <v>-0.11764705882352941</v>
      </c>
      <c r="H50" s="27">
        <f>(F50-E50)/E50</f>
        <v>0.2</v>
      </c>
      <c r="M50" s="5"/>
    </row>
    <row r="51" spans="1:13" x14ac:dyDescent="0.3">
      <c r="A51" s="18" t="s">
        <v>397</v>
      </c>
      <c r="B51" s="18" t="s">
        <v>321</v>
      </c>
      <c r="C51" s="18"/>
      <c r="D51" s="129">
        <v>2400</v>
      </c>
      <c r="E51" s="123">
        <v>2700</v>
      </c>
      <c r="F51" s="124">
        <v>2700</v>
      </c>
      <c r="G51" s="41">
        <f t="shared" ref="G51:G72" si="4">(E51-D51)/D51</f>
        <v>0.125</v>
      </c>
      <c r="H51" s="27">
        <f t="shared" ref="H51:H72" si="5">(F51-E51)/E51</f>
        <v>0</v>
      </c>
      <c r="M51" s="5"/>
    </row>
    <row r="52" spans="1:13" x14ac:dyDescent="0.3">
      <c r="A52" s="18" t="s">
        <v>398</v>
      </c>
      <c r="B52" s="18" t="s">
        <v>835</v>
      </c>
      <c r="C52" s="18"/>
      <c r="D52" s="129">
        <f>(D50)*0.062</f>
        <v>5270</v>
      </c>
      <c r="E52" s="123">
        <f>(E50)*0.062</f>
        <v>4650</v>
      </c>
      <c r="F52" s="124">
        <f>(F50)*0.062</f>
        <v>5580</v>
      </c>
      <c r="G52" s="41">
        <f t="shared" si="4"/>
        <v>-0.11764705882352941</v>
      </c>
      <c r="H52" s="27">
        <f t="shared" si="5"/>
        <v>0.2</v>
      </c>
      <c r="M52" s="5"/>
    </row>
    <row r="53" spans="1:13" x14ac:dyDescent="0.3">
      <c r="A53" s="18" t="s">
        <v>399</v>
      </c>
      <c r="B53" s="18" t="s">
        <v>307</v>
      </c>
      <c r="C53" s="18"/>
      <c r="D53" s="129">
        <f>(D50)*0.0145</f>
        <v>1232.5</v>
      </c>
      <c r="E53" s="123">
        <f>(E50)*0.0145</f>
        <v>1087.5</v>
      </c>
      <c r="F53" s="124">
        <f>(F50)*0.0145</f>
        <v>1305</v>
      </c>
      <c r="G53" s="41">
        <f t="shared" si="4"/>
        <v>-0.11764705882352941</v>
      </c>
      <c r="H53" s="27">
        <f t="shared" si="5"/>
        <v>0.2</v>
      </c>
      <c r="M53" s="5"/>
    </row>
    <row r="54" spans="1:13" x14ac:dyDescent="0.3">
      <c r="A54" s="18" t="s">
        <v>400</v>
      </c>
      <c r="B54" s="18" t="s">
        <v>336</v>
      </c>
      <c r="C54" s="18"/>
      <c r="D54" s="129">
        <v>3700</v>
      </c>
      <c r="E54" s="123">
        <v>3700</v>
      </c>
      <c r="F54" s="124">
        <v>3500</v>
      </c>
      <c r="G54" s="41">
        <f t="shared" si="4"/>
        <v>0</v>
      </c>
      <c r="H54" s="27">
        <f t="shared" si="5"/>
        <v>-5.4054054054054057E-2</v>
      </c>
      <c r="M54" s="5"/>
    </row>
    <row r="55" spans="1:13" x14ac:dyDescent="0.3">
      <c r="A55" s="18" t="s">
        <v>401</v>
      </c>
      <c r="B55" s="18" t="s">
        <v>418</v>
      </c>
      <c r="C55" s="18"/>
      <c r="D55" s="129">
        <v>6000</v>
      </c>
      <c r="E55" s="123">
        <v>6000</v>
      </c>
      <c r="F55" s="124">
        <v>5500</v>
      </c>
      <c r="G55" s="41">
        <f t="shared" si="4"/>
        <v>0</v>
      </c>
      <c r="H55" s="27">
        <f t="shared" si="5"/>
        <v>-8.3333333333333329E-2</v>
      </c>
      <c r="M55" s="5"/>
    </row>
    <row r="56" spans="1:13" x14ac:dyDescent="0.3">
      <c r="A56" s="18" t="s">
        <v>402</v>
      </c>
      <c r="B56" s="18" t="s">
        <v>419</v>
      </c>
      <c r="C56" s="18"/>
      <c r="D56" s="129">
        <v>2300</v>
      </c>
      <c r="E56" s="123">
        <v>2500</v>
      </c>
      <c r="F56" s="124">
        <v>4000</v>
      </c>
      <c r="G56" s="41">
        <f t="shared" si="4"/>
        <v>8.6956521739130432E-2</v>
      </c>
      <c r="H56" s="27">
        <f t="shared" si="5"/>
        <v>0.6</v>
      </c>
      <c r="M56" s="5"/>
    </row>
    <row r="57" spans="1:13" x14ac:dyDescent="0.3">
      <c r="A57" s="18" t="s">
        <v>403</v>
      </c>
      <c r="B57" s="18" t="s">
        <v>420</v>
      </c>
      <c r="C57" s="18"/>
      <c r="D57" s="129">
        <v>2800</v>
      </c>
      <c r="E57" s="123">
        <v>2800</v>
      </c>
      <c r="F57" s="124">
        <v>2500</v>
      </c>
      <c r="G57" s="41">
        <f t="shared" si="4"/>
        <v>0</v>
      </c>
      <c r="H57" s="27">
        <f t="shared" si="5"/>
        <v>-0.10714285714285714</v>
      </c>
      <c r="M57" s="5"/>
    </row>
    <row r="58" spans="1:13" x14ac:dyDescent="0.3">
      <c r="A58" s="18" t="s">
        <v>404</v>
      </c>
      <c r="B58" s="18" t="s">
        <v>421</v>
      </c>
      <c r="C58" s="18"/>
      <c r="D58" s="129">
        <v>5200</v>
      </c>
      <c r="E58" s="123">
        <v>5500</v>
      </c>
      <c r="F58" s="124">
        <v>7000</v>
      </c>
      <c r="G58" s="41">
        <f t="shared" si="4"/>
        <v>5.7692307692307696E-2</v>
      </c>
      <c r="H58" s="27">
        <f t="shared" si="5"/>
        <v>0.27272727272727271</v>
      </c>
      <c r="M58" s="5"/>
    </row>
    <row r="59" spans="1:13" x14ac:dyDescent="0.3">
      <c r="A59" s="18" t="s">
        <v>405</v>
      </c>
      <c r="B59" s="18" t="s">
        <v>308</v>
      </c>
      <c r="C59" s="18"/>
      <c r="D59" s="129">
        <v>1400</v>
      </c>
      <c r="E59" s="123">
        <v>1500</v>
      </c>
      <c r="F59" s="124">
        <v>1200</v>
      </c>
      <c r="G59" s="41">
        <f t="shared" si="4"/>
        <v>7.1428571428571425E-2</v>
      </c>
      <c r="H59" s="27">
        <f t="shared" si="5"/>
        <v>-0.2</v>
      </c>
      <c r="M59" s="5"/>
    </row>
    <row r="60" spans="1:13" x14ac:dyDescent="0.3">
      <c r="A60" s="18" t="s">
        <v>406</v>
      </c>
      <c r="B60" s="18" t="s">
        <v>309</v>
      </c>
      <c r="C60" s="18"/>
      <c r="D60" s="129">
        <v>4000</v>
      </c>
      <c r="E60" s="123">
        <v>4000</v>
      </c>
      <c r="F60" s="124">
        <v>3000</v>
      </c>
      <c r="G60" s="41">
        <f t="shared" si="4"/>
        <v>0</v>
      </c>
      <c r="H60" s="27">
        <f t="shared" si="5"/>
        <v>-0.25</v>
      </c>
      <c r="M60" s="5"/>
    </row>
    <row r="61" spans="1:13" x14ac:dyDescent="0.3">
      <c r="A61" s="18" t="s">
        <v>407</v>
      </c>
      <c r="B61" s="18" t="s">
        <v>310</v>
      </c>
      <c r="C61" s="18"/>
      <c r="D61" s="129">
        <v>7500</v>
      </c>
      <c r="E61" s="123">
        <v>8000</v>
      </c>
      <c r="F61" s="124">
        <v>10000</v>
      </c>
      <c r="G61" s="41">
        <f t="shared" si="4"/>
        <v>6.6666666666666666E-2</v>
      </c>
      <c r="H61" s="27">
        <f t="shared" si="5"/>
        <v>0.25</v>
      </c>
    </row>
    <row r="62" spans="1:13" x14ac:dyDescent="0.3">
      <c r="A62" s="18" t="s">
        <v>408</v>
      </c>
      <c r="B62" s="18" t="s">
        <v>422</v>
      </c>
      <c r="C62" s="18"/>
      <c r="D62" s="129">
        <v>2400</v>
      </c>
      <c r="E62" s="123">
        <v>2500</v>
      </c>
      <c r="F62" s="124">
        <v>2500</v>
      </c>
      <c r="G62" s="41">
        <f t="shared" si="4"/>
        <v>4.1666666666666664E-2</v>
      </c>
      <c r="H62" s="27">
        <f t="shared" si="5"/>
        <v>0</v>
      </c>
    </row>
    <row r="63" spans="1:13" x14ac:dyDescent="0.3">
      <c r="A63" s="18" t="s">
        <v>409</v>
      </c>
      <c r="B63" s="18" t="s">
        <v>389</v>
      </c>
      <c r="C63" s="18"/>
      <c r="D63" s="129">
        <v>15000</v>
      </c>
      <c r="E63" s="123">
        <v>15000</v>
      </c>
      <c r="F63" s="124">
        <v>15000</v>
      </c>
      <c r="G63" s="41">
        <f t="shared" si="4"/>
        <v>0</v>
      </c>
      <c r="H63" s="27">
        <f t="shared" si="5"/>
        <v>0</v>
      </c>
    </row>
    <row r="64" spans="1:13" x14ac:dyDescent="0.3">
      <c r="A64" s="18" t="s">
        <v>410</v>
      </c>
      <c r="B64" s="18" t="s">
        <v>423</v>
      </c>
      <c r="C64" s="18"/>
      <c r="D64" s="129">
        <v>20000</v>
      </c>
      <c r="E64" s="123">
        <v>20000</v>
      </c>
      <c r="F64" s="124">
        <v>25000</v>
      </c>
      <c r="G64" s="41">
        <f t="shared" si="4"/>
        <v>0</v>
      </c>
      <c r="H64" s="27">
        <f t="shared" si="5"/>
        <v>0.25</v>
      </c>
    </row>
    <row r="65" spans="1:8" x14ac:dyDescent="0.3">
      <c r="A65" s="18" t="s">
        <v>411</v>
      </c>
      <c r="B65" s="18" t="s">
        <v>424</v>
      </c>
      <c r="C65" s="18"/>
      <c r="D65" s="129">
        <v>6000</v>
      </c>
      <c r="E65" s="123">
        <v>6000</v>
      </c>
      <c r="F65" s="124">
        <v>5000</v>
      </c>
      <c r="G65" s="41">
        <f t="shared" si="4"/>
        <v>0</v>
      </c>
      <c r="H65" s="27">
        <f t="shared" si="5"/>
        <v>-0.16666666666666666</v>
      </c>
    </row>
    <row r="66" spans="1:8" x14ac:dyDescent="0.3">
      <c r="A66" s="18" t="s">
        <v>412</v>
      </c>
      <c r="B66" s="18" t="s">
        <v>429</v>
      </c>
      <c r="C66" s="18"/>
      <c r="D66" s="129">
        <v>10000</v>
      </c>
      <c r="E66" s="123">
        <v>12500</v>
      </c>
      <c r="F66" s="124">
        <v>10000</v>
      </c>
      <c r="G66" s="41">
        <f t="shared" si="4"/>
        <v>0.25</v>
      </c>
      <c r="H66" s="27">
        <f t="shared" si="5"/>
        <v>-0.2</v>
      </c>
    </row>
    <row r="67" spans="1:8" x14ac:dyDescent="0.3">
      <c r="A67" s="18" t="s">
        <v>413</v>
      </c>
      <c r="B67" s="18" t="s">
        <v>425</v>
      </c>
      <c r="C67" s="18"/>
      <c r="D67" s="129">
        <v>27000</v>
      </c>
      <c r="E67" s="123">
        <v>27000</v>
      </c>
      <c r="F67" s="124">
        <v>27000</v>
      </c>
      <c r="G67" s="41">
        <f t="shared" si="4"/>
        <v>0</v>
      </c>
      <c r="H67" s="27">
        <f t="shared" si="5"/>
        <v>0</v>
      </c>
    </row>
    <row r="68" spans="1:8" x14ac:dyDescent="0.3">
      <c r="A68" s="18" t="s">
        <v>414</v>
      </c>
      <c r="B68" s="18" t="s">
        <v>830</v>
      </c>
      <c r="C68" s="18"/>
      <c r="D68" s="129">
        <v>14000</v>
      </c>
      <c r="E68" s="123">
        <v>15000</v>
      </c>
      <c r="F68" s="124">
        <v>15000</v>
      </c>
      <c r="G68" s="41">
        <f t="shared" si="4"/>
        <v>7.1428571428571425E-2</v>
      </c>
      <c r="H68" s="27">
        <f t="shared" si="5"/>
        <v>0</v>
      </c>
    </row>
    <row r="69" spans="1:8" x14ac:dyDescent="0.3">
      <c r="A69" s="18" t="s">
        <v>415</v>
      </c>
      <c r="B69" s="18" t="s">
        <v>427</v>
      </c>
      <c r="C69" s="18"/>
      <c r="D69" s="129">
        <v>2400</v>
      </c>
      <c r="E69" s="123">
        <v>5500</v>
      </c>
      <c r="F69" s="124">
        <v>4000</v>
      </c>
      <c r="G69" s="41">
        <f t="shared" si="4"/>
        <v>1.2916666666666667</v>
      </c>
      <c r="H69" s="27">
        <f t="shared" si="5"/>
        <v>-0.27272727272727271</v>
      </c>
    </row>
    <row r="70" spans="1:8" x14ac:dyDescent="0.3">
      <c r="A70" s="18" t="s">
        <v>416</v>
      </c>
      <c r="B70" s="18" t="s">
        <v>428</v>
      </c>
      <c r="C70" s="18"/>
      <c r="D70" s="129">
        <v>8000</v>
      </c>
      <c r="E70" s="123">
        <v>8000</v>
      </c>
      <c r="F70" s="124">
        <v>8000</v>
      </c>
      <c r="G70" s="41">
        <f t="shared" si="4"/>
        <v>0</v>
      </c>
      <c r="H70" s="27">
        <f t="shared" si="5"/>
        <v>0</v>
      </c>
    </row>
    <row r="71" spans="1:8" x14ac:dyDescent="0.3">
      <c r="A71" s="18" t="s">
        <v>417</v>
      </c>
      <c r="B71" s="18" t="s">
        <v>394</v>
      </c>
      <c r="C71" s="18"/>
      <c r="D71" s="129">
        <v>0</v>
      </c>
      <c r="E71" s="123">
        <v>0</v>
      </c>
      <c r="F71" s="124">
        <v>0</v>
      </c>
      <c r="G71" s="41" t="e">
        <f t="shared" si="4"/>
        <v>#DIV/0!</v>
      </c>
      <c r="H71" s="27" t="e">
        <f t="shared" si="5"/>
        <v>#DIV/0!</v>
      </c>
    </row>
    <row r="72" spans="1:8" x14ac:dyDescent="0.3">
      <c r="A72" s="18"/>
      <c r="B72" s="24" t="s">
        <v>7</v>
      </c>
      <c r="C72" s="24"/>
      <c r="D72" s="130">
        <f>SUM(D50:D71)</f>
        <v>231602.5</v>
      </c>
      <c r="E72" s="125">
        <f>SUM(E50:E71)</f>
        <v>228937.5</v>
      </c>
      <c r="F72" s="126">
        <f>SUM(F50:F71)</f>
        <v>247785</v>
      </c>
      <c r="G72" s="42">
        <f t="shared" si="4"/>
        <v>-1.1506784253192431E-2</v>
      </c>
      <c r="H72" s="29">
        <f t="shared" si="5"/>
        <v>8.2325962325962329E-2</v>
      </c>
    </row>
    <row r="74" spans="1:8" x14ac:dyDescent="0.3">
      <c r="A74" s="24" t="s">
        <v>430</v>
      </c>
      <c r="B74" s="18"/>
      <c r="C74" s="18"/>
      <c r="D74" s="57" t="s">
        <v>1</v>
      </c>
      <c r="E74" s="22" t="s">
        <v>901</v>
      </c>
      <c r="F74" s="23" t="s">
        <v>2</v>
      </c>
      <c r="G74" s="22" t="s">
        <v>3</v>
      </c>
      <c r="H74" s="23" t="s">
        <v>3</v>
      </c>
    </row>
    <row r="75" spans="1:8" x14ac:dyDescent="0.3">
      <c r="A75" s="18"/>
      <c r="B75" s="18"/>
      <c r="C75" s="18"/>
      <c r="D75" s="57">
        <v>2022</v>
      </c>
      <c r="E75" s="22">
        <v>2023</v>
      </c>
      <c r="F75" s="23">
        <v>2024</v>
      </c>
      <c r="G75" s="22" t="s">
        <v>894</v>
      </c>
      <c r="H75" s="23" t="s">
        <v>902</v>
      </c>
    </row>
    <row r="76" spans="1:8" x14ac:dyDescent="0.3">
      <c r="A76" s="18" t="s">
        <v>431</v>
      </c>
      <c r="B76" s="18" t="s">
        <v>430</v>
      </c>
      <c r="C76" s="18"/>
      <c r="D76" s="129">
        <v>41000</v>
      </c>
      <c r="E76" s="123">
        <v>41000</v>
      </c>
      <c r="F76" s="124">
        <v>42000</v>
      </c>
      <c r="G76" s="41">
        <f>(E76-D76)/D76</f>
        <v>0</v>
      </c>
      <c r="H76" s="27">
        <f>(F76-E76)/E76</f>
        <v>2.4390243902439025E-2</v>
      </c>
    </row>
    <row r="77" spans="1:8" x14ac:dyDescent="0.3">
      <c r="A77" s="18"/>
      <c r="B77" s="24" t="s">
        <v>7</v>
      </c>
      <c r="C77" s="24"/>
      <c r="D77" s="130">
        <v>41000</v>
      </c>
      <c r="E77" s="125">
        <v>41000</v>
      </c>
      <c r="F77" s="126">
        <v>42000</v>
      </c>
      <c r="G77" s="42">
        <f>(E77-D77)/D77</f>
        <v>0</v>
      </c>
      <c r="H77" s="29">
        <f>(F77-E77)/E77</f>
        <v>2.4390243902439025E-2</v>
      </c>
    </row>
    <row r="78" spans="1:8" x14ac:dyDescent="0.3">
      <c r="D78" s="60"/>
    </row>
    <row r="79" spans="1:8" x14ac:dyDescent="0.3">
      <c r="D79" s="60"/>
    </row>
    <row r="80" spans="1:8" x14ac:dyDescent="0.3">
      <c r="A80" s="24" t="s">
        <v>442</v>
      </c>
      <c r="B80" s="18"/>
      <c r="C80" s="18"/>
      <c r="D80" s="57" t="s">
        <v>1</v>
      </c>
      <c r="E80" s="22" t="s">
        <v>901</v>
      </c>
      <c r="F80" s="23" t="s">
        <v>2</v>
      </c>
      <c r="G80" s="22" t="s">
        <v>3</v>
      </c>
      <c r="H80" s="23" t="s">
        <v>3</v>
      </c>
    </row>
    <row r="81" spans="1:8" x14ac:dyDescent="0.3">
      <c r="A81" s="18"/>
      <c r="B81" s="18"/>
      <c r="C81" s="18"/>
      <c r="D81" s="57">
        <v>2022</v>
      </c>
      <c r="E81" s="22">
        <v>2023</v>
      </c>
      <c r="F81" s="23">
        <v>2024</v>
      </c>
      <c r="G81" s="22" t="s">
        <v>894</v>
      </c>
      <c r="H81" s="23" t="s">
        <v>902</v>
      </c>
    </row>
    <row r="82" spans="1:8" x14ac:dyDescent="0.3">
      <c r="A82" s="24" t="s">
        <v>7</v>
      </c>
      <c r="B82" s="18"/>
      <c r="C82" s="18"/>
      <c r="D82" s="130">
        <f>(D72+D77+D42+D35+D27)</f>
        <v>1215442.5</v>
      </c>
      <c r="E82" s="125">
        <f>(E72+E77+E42+E35+E27)</f>
        <v>1251453</v>
      </c>
      <c r="F82" s="126">
        <f>(F72+F77+F42+F35+F27)</f>
        <v>1219497.5</v>
      </c>
      <c r="G82" s="42">
        <f>(E82-D82)/D82</f>
        <v>2.9627481349385101E-2</v>
      </c>
      <c r="H82" s="29">
        <f>(F82-E82)/E82</f>
        <v>-2.5534718443281531E-2</v>
      </c>
    </row>
    <row r="88" spans="1:8" x14ac:dyDescent="0.3">
      <c r="E88" s="6" t="s">
        <v>874</v>
      </c>
    </row>
    <row r="93" spans="1:8" x14ac:dyDescent="0.3">
      <c r="D93" s="6"/>
    </row>
  </sheetData>
  <printOptions gridLines="1"/>
  <pageMargins left="1" right="1" top="1" bottom="1" header="0.5" footer="0.5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93"/>
  <sheetViews>
    <sheetView view="pageLayout" zoomScale="90" zoomScaleNormal="70" zoomScalePageLayoutView="90" workbookViewId="0">
      <selection activeCell="N20" sqref="N20"/>
    </sheetView>
  </sheetViews>
  <sheetFormatPr defaultRowHeight="14.4" x14ac:dyDescent="0.3"/>
  <cols>
    <col min="1" max="1" width="9.5546875" customWidth="1"/>
    <col min="2" max="2" width="8" customWidth="1"/>
    <col min="4" max="4" width="8" customWidth="1"/>
    <col min="5" max="6" width="11.44140625" bestFit="1" customWidth="1"/>
    <col min="7" max="7" width="9.6640625" customWidth="1"/>
    <col min="8" max="9" width="9.5546875" customWidth="1"/>
    <col min="10" max="10" width="9.6640625" customWidth="1"/>
    <col min="12" max="12" width="13.44140625" customWidth="1"/>
    <col min="13" max="13" width="9.44140625" customWidth="1"/>
    <col min="14" max="15" width="9.88671875" customWidth="1"/>
    <col min="16" max="17" width="9.5546875" customWidth="1"/>
  </cols>
  <sheetData>
    <row r="1" spans="1:17" x14ac:dyDescent="0.3">
      <c r="A1" s="6"/>
      <c r="M1" s="6"/>
    </row>
    <row r="2" spans="1:17" x14ac:dyDescent="0.3">
      <c r="J2" s="24" t="s">
        <v>507</v>
      </c>
      <c r="K2" s="18"/>
      <c r="L2" s="18"/>
      <c r="M2" s="57" t="s">
        <v>1</v>
      </c>
      <c r="N2" s="22" t="s">
        <v>901</v>
      </c>
      <c r="O2" s="23" t="s">
        <v>2</v>
      </c>
      <c r="P2" s="22" t="s">
        <v>3</v>
      </c>
      <c r="Q2" s="23" t="s">
        <v>3</v>
      </c>
    </row>
    <row r="3" spans="1:17" x14ac:dyDescent="0.3">
      <c r="J3" s="18"/>
      <c r="K3" s="18"/>
      <c r="L3" s="18"/>
      <c r="M3" s="57">
        <v>2022</v>
      </c>
      <c r="N3" s="22">
        <v>2023</v>
      </c>
      <c r="O3" s="23">
        <v>2024</v>
      </c>
      <c r="P3" s="22" t="s">
        <v>894</v>
      </c>
      <c r="Q3" s="23" t="s">
        <v>902</v>
      </c>
    </row>
    <row r="4" spans="1:17" x14ac:dyDescent="0.3">
      <c r="J4" s="30" t="s">
        <v>508</v>
      </c>
      <c r="K4" s="18" t="s">
        <v>305</v>
      </c>
      <c r="L4" s="18"/>
      <c r="M4" s="129">
        <v>3000</v>
      </c>
      <c r="N4" s="123">
        <v>3000</v>
      </c>
      <c r="O4" s="124">
        <v>3000</v>
      </c>
      <c r="P4" s="41">
        <f>(N4-M4)/M4</f>
        <v>0</v>
      </c>
      <c r="Q4" s="27">
        <f>(O4-N4)/N4</f>
        <v>0</v>
      </c>
    </row>
    <row r="5" spans="1:17" x14ac:dyDescent="0.3">
      <c r="J5" s="18" t="s">
        <v>509</v>
      </c>
      <c r="K5" s="18" t="s">
        <v>838</v>
      </c>
      <c r="L5" s="18"/>
      <c r="M5" s="129">
        <f>(M4)*0.062</f>
        <v>186</v>
      </c>
      <c r="N5" s="123">
        <f>(N4)*0.062</f>
        <v>186</v>
      </c>
      <c r="O5" s="124">
        <f>(O4)*0.062</f>
        <v>186</v>
      </c>
      <c r="P5" s="41">
        <f t="shared" ref="P5:P19" si="0">(N5-M5)/M5</f>
        <v>0</v>
      </c>
      <c r="Q5" s="27">
        <f t="shared" ref="Q5:Q19" si="1">(O5-N5)/N5</f>
        <v>0</v>
      </c>
    </row>
    <row r="6" spans="1:17" x14ac:dyDescent="0.3">
      <c r="J6" s="18" t="s">
        <v>510</v>
      </c>
      <c r="K6" s="18" t="s">
        <v>307</v>
      </c>
      <c r="L6" s="18"/>
      <c r="M6" s="129">
        <f>(M4)*0.0145</f>
        <v>43.5</v>
      </c>
      <c r="N6" s="123">
        <f>(N4)*0.0145</f>
        <v>43.5</v>
      </c>
      <c r="O6" s="124">
        <f>(O4)*0.0145</f>
        <v>43.5</v>
      </c>
      <c r="P6" s="41">
        <f t="shared" si="0"/>
        <v>0</v>
      </c>
      <c r="Q6" s="27">
        <f t="shared" si="1"/>
        <v>0</v>
      </c>
    </row>
    <row r="7" spans="1:17" x14ac:dyDescent="0.3">
      <c r="A7" s="24" t="s">
        <v>443</v>
      </c>
      <c r="B7" s="18"/>
      <c r="C7" s="18"/>
      <c r="D7" s="18"/>
      <c r="E7" s="57" t="s">
        <v>1</v>
      </c>
      <c r="F7" s="22" t="s">
        <v>901</v>
      </c>
      <c r="G7" s="23" t="s">
        <v>2</v>
      </c>
      <c r="H7" s="22" t="s">
        <v>3</v>
      </c>
      <c r="I7" s="23" t="s">
        <v>3</v>
      </c>
      <c r="J7" s="18" t="s">
        <v>511</v>
      </c>
      <c r="K7" s="18" t="s">
        <v>322</v>
      </c>
      <c r="L7" s="18"/>
      <c r="M7" s="129">
        <f>(M4)*0.0675</f>
        <v>202.5</v>
      </c>
      <c r="N7" s="123">
        <f>(N4)*0.068</f>
        <v>204.00000000000003</v>
      </c>
      <c r="O7" s="124">
        <f>(O4)*0.069</f>
        <v>207.00000000000003</v>
      </c>
      <c r="P7" s="41">
        <f t="shared" si="0"/>
        <v>7.4074074074075473E-3</v>
      </c>
      <c r="Q7" s="27">
        <f t="shared" si="1"/>
        <v>1.4705882352941175E-2</v>
      </c>
    </row>
    <row r="8" spans="1:17" x14ac:dyDescent="0.3">
      <c r="A8" s="18"/>
      <c r="B8" s="18"/>
      <c r="C8" s="18"/>
      <c r="D8" s="18"/>
      <c r="E8" s="57">
        <v>2022</v>
      </c>
      <c r="F8" s="22">
        <v>2023</v>
      </c>
      <c r="G8" s="23">
        <v>2024</v>
      </c>
      <c r="H8" s="22" t="s">
        <v>894</v>
      </c>
      <c r="I8" s="23" t="s">
        <v>902</v>
      </c>
      <c r="J8" s="18" t="s">
        <v>512</v>
      </c>
      <c r="K8" s="18" t="s">
        <v>341</v>
      </c>
      <c r="L8" s="18"/>
      <c r="M8" s="129">
        <v>6000</v>
      </c>
      <c r="N8" s="123">
        <v>0</v>
      </c>
      <c r="O8" s="124">
        <v>0</v>
      </c>
      <c r="P8" s="41">
        <f t="shared" si="0"/>
        <v>-1</v>
      </c>
      <c r="Q8" s="27" t="e">
        <f t="shared" si="1"/>
        <v>#DIV/0!</v>
      </c>
    </row>
    <row r="9" spans="1:17" x14ac:dyDescent="0.3">
      <c r="A9" s="18" t="s">
        <v>444</v>
      </c>
      <c r="B9" s="18" t="s">
        <v>447</v>
      </c>
      <c r="C9" s="18"/>
      <c r="D9" s="18"/>
      <c r="E9" s="129">
        <v>750</v>
      </c>
      <c r="F9" s="123">
        <v>750</v>
      </c>
      <c r="G9" s="124">
        <v>750</v>
      </c>
      <c r="H9" s="41">
        <f>(F9-E9)/E9</f>
        <v>0</v>
      </c>
      <c r="I9" s="27">
        <f>(G9-F9)/F9</f>
        <v>0</v>
      </c>
      <c r="J9" s="18" t="s">
        <v>513</v>
      </c>
      <c r="K9" s="18" t="s">
        <v>418</v>
      </c>
      <c r="L9" s="18"/>
      <c r="M9" s="129">
        <v>2000</v>
      </c>
      <c r="N9" s="123">
        <v>2000</v>
      </c>
      <c r="O9" s="124">
        <v>2500</v>
      </c>
      <c r="P9" s="41">
        <f t="shared" si="0"/>
        <v>0</v>
      </c>
      <c r="Q9" s="27">
        <f t="shared" si="1"/>
        <v>0.25</v>
      </c>
    </row>
    <row r="10" spans="1:17" x14ac:dyDescent="0.3">
      <c r="A10" s="18" t="s">
        <v>445</v>
      </c>
      <c r="B10" s="18" t="s">
        <v>448</v>
      </c>
      <c r="C10" s="18"/>
      <c r="D10" s="18"/>
      <c r="E10" s="129">
        <v>3500</v>
      </c>
      <c r="F10" s="123">
        <v>4000</v>
      </c>
      <c r="G10" s="124">
        <v>3000</v>
      </c>
      <c r="H10" s="41">
        <f>(F10-E10)/E10</f>
        <v>0.14285714285714285</v>
      </c>
      <c r="I10" s="27">
        <f t="shared" ref="I10:I13" si="2">(G10-F10)/F10</f>
        <v>-0.25</v>
      </c>
      <c r="J10" s="30" t="s">
        <v>514</v>
      </c>
      <c r="K10" s="18" t="s">
        <v>308</v>
      </c>
      <c r="L10" s="18"/>
      <c r="M10" s="129">
        <v>1200</v>
      </c>
      <c r="N10" s="123">
        <v>1200</v>
      </c>
      <c r="O10" s="124">
        <v>800</v>
      </c>
      <c r="P10" s="41">
        <f t="shared" si="0"/>
        <v>0</v>
      </c>
      <c r="Q10" s="27">
        <f t="shared" si="1"/>
        <v>-0.33333333333333331</v>
      </c>
    </row>
    <row r="11" spans="1:17" x14ac:dyDescent="0.3">
      <c r="A11" s="18" t="s">
        <v>446</v>
      </c>
      <c r="B11" s="18" t="s">
        <v>426</v>
      </c>
      <c r="C11" s="18"/>
      <c r="D11" s="18"/>
      <c r="E11" s="129">
        <v>7500</v>
      </c>
      <c r="F11" s="123">
        <v>7500</v>
      </c>
      <c r="G11" s="124">
        <v>5000</v>
      </c>
      <c r="H11" s="41">
        <f>(F11-E11)/E11</f>
        <v>0</v>
      </c>
      <c r="I11" s="27">
        <f t="shared" si="2"/>
        <v>-0.33333333333333331</v>
      </c>
      <c r="J11" s="30" t="s">
        <v>515</v>
      </c>
      <c r="K11" s="18" t="s">
        <v>309</v>
      </c>
      <c r="L11" s="18"/>
      <c r="M11" s="129">
        <v>300</v>
      </c>
      <c r="N11" s="123">
        <v>300</v>
      </c>
      <c r="O11" s="124">
        <v>0</v>
      </c>
      <c r="P11" s="41">
        <f t="shared" si="0"/>
        <v>0</v>
      </c>
      <c r="Q11" s="27">
        <f t="shared" si="1"/>
        <v>-1</v>
      </c>
    </row>
    <row r="12" spans="1:17" x14ac:dyDescent="0.3">
      <c r="A12" s="18" t="s">
        <v>837</v>
      </c>
      <c r="B12" s="18" t="s">
        <v>336</v>
      </c>
      <c r="C12" s="18"/>
      <c r="D12" s="18"/>
      <c r="E12" s="129">
        <v>2500</v>
      </c>
      <c r="F12" s="123">
        <v>3000</v>
      </c>
      <c r="G12" s="124">
        <v>2500</v>
      </c>
      <c r="H12" s="41">
        <f>(F12-E12)/E12</f>
        <v>0.2</v>
      </c>
      <c r="I12" s="27">
        <f t="shared" si="2"/>
        <v>-0.16666666666666666</v>
      </c>
      <c r="J12" s="18" t="s">
        <v>516</v>
      </c>
      <c r="K12" s="18" t="s">
        <v>447</v>
      </c>
      <c r="L12" s="18"/>
      <c r="M12" s="129">
        <v>200</v>
      </c>
      <c r="N12" s="123">
        <v>150</v>
      </c>
      <c r="O12" s="124">
        <v>0</v>
      </c>
      <c r="P12" s="41">
        <f t="shared" si="0"/>
        <v>-0.25</v>
      </c>
      <c r="Q12" s="27">
        <f t="shared" si="1"/>
        <v>-1</v>
      </c>
    </row>
    <row r="13" spans="1:17" x14ac:dyDescent="0.3">
      <c r="A13" s="18"/>
      <c r="B13" s="24" t="s">
        <v>7</v>
      </c>
      <c r="C13" s="24"/>
      <c r="D13" s="24"/>
      <c r="E13" s="130">
        <f>SUM(E9:E12)</f>
        <v>14250</v>
      </c>
      <c r="F13" s="125">
        <f>SUM(F9:F12)</f>
        <v>15250</v>
      </c>
      <c r="G13" s="126">
        <f>SUM(G9:G12)</f>
        <v>11250</v>
      </c>
      <c r="H13" s="42">
        <f>(F13-E13)/E13</f>
        <v>7.0175438596491224E-2</v>
      </c>
      <c r="I13" s="29">
        <f t="shared" si="2"/>
        <v>-0.26229508196721313</v>
      </c>
      <c r="J13" s="18" t="s">
        <v>517</v>
      </c>
      <c r="K13" s="18" t="s">
        <v>521</v>
      </c>
      <c r="L13" s="18"/>
      <c r="M13" s="129">
        <v>500</v>
      </c>
      <c r="N13" s="123">
        <v>500</v>
      </c>
      <c r="O13" s="124">
        <v>1500</v>
      </c>
      <c r="P13" s="41">
        <f t="shared" si="0"/>
        <v>0</v>
      </c>
      <c r="Q13" s="27">
        <f t="shared" si="1"/>
        <v>2</v>
      </c>
    </row>
    <row r="14" spans="1:17" x14ac:dyDescent="0.3">
      <c r="A14" s="65"/>
      <c r="F14" s="60"/>
      <c r="G14" s="60"/>
      <c r="H14" s="60"/>
      <c r="J14" s="18" t="s">
        <v>518</v>
      </c>
      <c r="K14" s="18" t="s">
        <v>368</v>
      </c>
      <c r="L14" s="18"/>
      <c r="M14" s="129">
        <v>1600</v>
      </c>
      <c r="N14" s="123">
        <v>1500</v>
      </c>
      <c r="O14" s="124">
        <v>1500</v>
      </c>
      <c r="P14" s="41">
        <f t="shared" si="0"/>
        <v>-6.25E-2</v>
      </c>
      <c r="Q14" s="27">
        <f t="shared" si="1"/>
        <v>0</v>
      </c>
    </row>
    <row r="15" spans="1:17" x14ac:dyDescent="0.3">
      <c r="F15" s="60"/>
      <c r="G15" s="60"/>
      <c r="H15" s="60"/>
      <c r="J15" s="18" t="s">
        <v>519</v>
      </c>
      <c r="K15" s="51" t="s">
        <v>817</v>
      </c>
      <c r="L15" s="18"/>
      <c r="M15" s="129">
        <v>8000</v>
      </c>
      <c r="N15" s="123">
        <v>0</v>
      </c>
      <c r="O15" s="124">
        <v>0</v>
      </c>
      <c r="P15" s="41">
        <f t="shared" si="0"/>
        <v>-1</v>
      </c>
      <c r="Q15" s="27" t="e">
        <f t="shared" si="1"/>
        <v>#DIV/0!</v>
      </c>
    </row>
    <row r="16" spans="1:17" x14ac:dyDescent="0.3">
      <c r="F16" s="60"/>
      <c r="G16" s="60"/>
      <c r="H16" s="60"/>
      <c r="J16" s="18" t="s">
        <v>520</v>
      </c>
      <c r="K16" s="51" t="s">
        <v>522</v>
      </c>
      <c r="L16" s="18"/>
      <c r="M16" s="129">
        <v>0</v>
      </c>
      <c r="N16" s="123">
        <v>0</v>
      </c>
      <c r="O16" s="124">
        <v>0</v>
      </c>
      <c r="P16" s="41" t="e">
        <f t="shared" si="0"/>
        <v>#DIV/0!</v>
      </c>
      <c r="Q16" s="27" t="e">
        <f t="shared" si="1"/>
        <v>#DIV/0!</v>
      </c>
    </row>
    <row r="17" spans="1:22" x14ac:dyDescent="0.3">
      <c r="A17" s="24" t="s">
        <v>256</v>
      </c>
      <c r="B17" s="18"/>
      <c r="C17" s="18"/>
      <c r="D17" s="18"/>
      <c r="E17" s="57" t="s">
        <v>1</v>
      </c>
      <c r="F17" s="22" t="s">
        <v>901</v>
      </c>
      <c r="G17" s="23" t="s">
        <v>2</v>
      </c>
      <c r="H17" s="22" t="s">
        <v>3</v>
      </c>
      <c r="I17" s="23" t="s">
        <v>3</v>
      </c>
      <c r="J17" s="18" t="s">
        <v>787</v>
      </c>
      <c r="K17" s="51" t="s">
        <v>489</v>
      </c>
      <c r="L17" s="18"/>
      <c r="M17" s="129">
        <v>238</v>
      </c>
      <c r="N17" s="123">
        <v>0</v>
      </c>
      <c r="O17" s="124">
        <v>0</v>
      </c>
      <c r="P17" s="41">
        <f t="shared" si="0"/>
        <v>-1</v>
      </c>
      <c r="Q17" s="27" t="e">
        <f t="shared" si="1"/>
        <v>#DIV/0!</v>
      </c>
    </row>
    <row r="18" spans="1:22" x14ac:dyDescent="0.3">
      <c r="A18" s="18"/>
      <c r="B18" s="18"/>
      <c r="C18" s="18"/>
      <c r="D18" s="18"/>
      <c r="E18" s="57">
        <v>2022</v>
      </c>
      <c r="F18" s="22">
        <v>2023</v>
      </c>
      <c r="G18" s="23">
        <v>2024</v>
      </c>
      <c r="H18" s="22" t="s">
        <v>894</v>
      </c>
      <c r="I18" s="23" t="s">
        <v>902</v>
      </c>
      <c r="J18" s="18" t="s">
        <v>818</v>
      </c>
      <c r="K18" s="51" t="s">
        <v>819</v>
      </c>
      <c r="L18" s="18"/>
      <c r="M18" s="129">
        <v>0</v>
      </c>
      <c r="N18" s="123">
        <v>0</v>
      </c>
      <c r="O18" s="124">
        <v>0</v>
      </c>
      <c r="P18" s="41" t="e">
        <f t="shared" si="0"/>
        <v>#DIV/0!</v>
      </c>
      <c r="Q18" s="27" t="e">
        <f t="shared" si="1"/>
        <v>#DIV/0!</v>
      </c>
    </row>
    <row r="19" spans="1:22" x14ac:dyDescent="0.3">
      <c r="A19" s="18" t="s">
        <v>449</v>
      </c>
      <c r="B19" s="18" t="s">
        <v>462</v>
      </c>
      <c r="C19" s="18"/>
      <c r="D19" s="18"/>
      <c r="E19" s="129">
        <v>95000</v>
      </c>
      <c r="F19" s="123">
        <v>90000</v>
      </c>
      <c r="G19" s="124">
        <v>92500</v>
      </c>
      <c r="H19" s="41">
        <f>(F19-E19)/E19</f>
        <v>-5.2631578947368418E-2</v>
      </c>
      <c r="I19" s="27">
        <f>(G19-F19)/F19</f>
        <v>2.7777777777777776E-2</v>
      </c>
      <c r="J19" s="18"/>
      <c r="K19" s="52" t="s">
        <v>7</v>
      </c>
      <c r="L19" s="24"/>
      <c r="M19" s="130">
        <f>SUM(M4:M18)</f>
        <v>23470</v>
      </c>
      <c r="N19" s="125">
        <f>SUM(N4:N18)</f>
        <v>9083.5</v>
      </c>
      <c r="O19" s="126">
        <f>SUM(O4:O18)</f>
        <v>9736.5</v>
      </c>
      <c r="P19" s="42">
        <f t="shared" si="0"/>
        <v>-0.61297400937366853</v>
      </c>
      <c r="Q19" s="29">
        <f t="shared" si="1"/>
        <v>7.1888589200198166E-2</v>
      </c>
      <c r="U19" s="5"/>
    </row>
    <row r="20" spans="1:22" x14ac:dyDescent="0.3">
      <c r="A20" s="18" t="s">
        <v>450</v>
      </c>
      <c r="B20" s="18" t="s">
        <v>321</v>
      </c>
      <c r="C20" s="18"/>
      <c r="D20" s="18"/>
      <c r="E20" s="129">
        <v>35000</v>
      </c>
      <c r="F20" s="123">
        <v>15000</v>
      </c>
      <c r="G20" s="124">
        <v>15000</v>
      </c>
      <c r="H20" s="41">
        <f t="shared" ref="H20:H32" si="3">(F20-E20)/E20</f>
        <v>-0.5714285714285714</v>
      </c>
      <c r="I20" s="27">
        <f t="shared" ref="I20:I32" si="4">(G20-F20)/F20</f>
        <v>0</v>
      </c>
      <c r="J20" s="51"/>
      <c r="O20" s="60"/>
    </row>
    <row r="21" spans="1:22" x14ac:dyDescent="0.3">
      <c r="A21" s="18" t="s">
        <v>451</v>
      </c>
      <c r="B21" s="18" t="s">
        <v>835</v>
      </c>
      <c r="C21" s="18"/>
      <c r="D21" s="18"/>
      <c r="E21" s="129">
        <f>(E19)*0.062</f>
        <v>5890</v>
      </c>
      <c r="F21" s="123">
        <f>(F19)*0.062</f>
        <v>5580</v>
      </c>
      <c r="G21" s="124">
        <f>(G19)*0.062</f>
        <v>5735</v>
      </c>
      <c r="H21" s="41">
        <f t="shared" si="3"/>
        <v>-5.2631578947368418E-2</v>
      </c>
      <c r="I21" s="27">
        <f t="shared" si="4"/>
        <v>2.7777777777777776E-2</v>
      </c>
      <c r="J21" s="24" t="s">
        <v>523</v>
      </c>
      <c r="K21" s="51"/>
      <c r="L21" s="18"/>
      <c r="M21" s="57" t="s">
        <v>1</v>
      </c>
      <c r="N21" s="22" t="s">
        <v>901</v>
      </c>
      <c r="O21" s="23" t="s">
        <v>2</v>
      </c>
      <c r="P21" s="22" t="s">
        <v>3</v>
      </c>
      <c r="Q21" s="23" t="s">
        <v>3</v>
      </c>
    </row>
    <row r="22" spans="1:22" x14ac:dyDescent="0.3">
      <c r="A22" s="18" t="s">
        <v>452</v>
      </c>
      <c r="B22" s="18" t="s">
        <v>307</v>
      </c>
      <c r="C22" s="18"/>
      <c r="D22" s="18"/>
      <c r="E22" s="129">
        <f>(E19)*0.0145</f>
        <v>1377.5</v>
      </c>
      <c r="F22" s="123">
        <f>(F19)*0.0145</f>
        <v>1305</v>
      </c>
      <c r="G22" s="124">
        <f>(G19)*0.0145</f>
        <v>1341.25</v>
      </c>
      <c r="H22" s="41">
        <f t="shared" si="3"/>
        <v>-5.2631578947368418E-2</v>
      </c>
      <c r="I22" s="27">
        <f t="shared" si="4"/>
        <v>2.7777777777777776E-2</v>
      </c>
      <c r="J22" s="18"/>
      <c r="K22" s="51"/>
      <c r="L22" s="18"/>
      <c r="M22" s="57">
        <v>2022</v>
      </c>
      <c r="N22" s="22">
        <v>2023</v>
      </c>
      <c r="O22" s="23">
        <v>2024</v>
      </c>
      <c r="P22" s="22" t="s">
        <v>894</v>
      </c>
      <c r="Q22" s="23" t="s">
        <v>902</v>
      </c>
    </row>
    <row r="23" spans="1:22" x14ac:dyDescent="0.3">
      <c r="A23" s="18" t="s">
        <v>453</v>
      </c>
      <c r="B23" s="18" t="s">
        <v>322</v>
      </c>
      <c r="C23" s="18"/>
      <c r="D23" s="18"/>
      <c r="E23" s="129">
        <f>(E19)*0.0675</f>
        <v>6412.5</v>
      </c>
      <c r="F23" s="123">
        <f>(F19)*0.068</f>
        <v>6120</v>
      </c>
      <c r="G23" s="124">
        <f>(G19)*0.069</f>
        <v>6382.5000000000009</v>
      </c>
      <c r="H23" s="41">
        <f t="shared" si="3"/>
        <v>-4.5614035087719301E-2</v>
      </c>
      <c r="I23" s="27">
        <f t="shared" si="4"/>
        <v>4.2892156862745244E-2</v>
      </c>
      <c r="J23" s="18" t="s">
        <v>524</v>
      </c>
      <c r="K23" s="51" t="s">
        <v>418</v>
      </c>
      <c r="L23" s="18"/>
      <c r="M23" s="129">
        <v>6500</v>
      </c>
      <c r="N23" s="123">
        <v>7000</v>
      </c>
      <c r="O23" s="124">
        <v>7000</v>
      </c>
      <c r="P23" s="41">
        <f>(N23-M23)/M23</f>
        <v>7.6923076923076927E-2</v>
      </c>
      <c r="Q23" s="27">
        <f>(O23-N23)/N23</f>
        <v>0</v>
      </c>
    </row>
    <row r="24" spans="1:22" x14ac:dyDescent="0.3">
      <c r="A24" s="18" t="s">
        <v>454</v>
      </c>
      <c r="B24" s="18" t="s">
        <v>463</v>
      </c>
      <c r="C24" s="18"/>
      <c r="D24" s="18"/>
      <c r="E24" s="129">
        <v>2500</v>
      </c>
      <c r="F24" s="123">
        <v>2500</v>
      </c>
      <c r="G24" s="124">
        <v>2250</v>
      </c>
      <c r="H24" s="41">
        <f t="shared" si="3"/>
        <v>0</v>
      </c>
      <c r="I24" s="27">
        <f t="shared" si="4"/>
        <v>-0.1</v>
      </c>
      <c r="J24" s="18" t="s">
        <v>525</v>
      </c>
      <c r="K24" s="51" t="s">
        <v>526</v>
      </c>
      <c r="L24" s="18"/>
      <c r="M24" s="129">
        <v>1000</v>
      </c>
      <c r="N24" s="123">
        <v>1000</v>
      </c>
      <c r="O24" s="124">
        <v>1000</v>
      </c>
      <c r="P24" s="41">
        <f>(N24-M24)/M24</f>
        <v>0</v>
      </c>
      <c r="Q24" s="27">
        <f t="shared" ref="Q24:Q26" si="5">(O24-N24)/N24</f>
        <v>0</v>
      </c>
    </row>
    <row r="25" spans="1:22" x14ac:dyDescent="0.3">
      <c r="A25" s="18" t="s">
        <v>455</v>
      </c>
      <c r="B25" s="18" t="s">
        <v>464</v>
      </c>
      <c r="C25" s="18"/>
      <c r="D25" s="18"/>
      <c r="E25" s="129">
        <v>9000</v>
      </c>
      <c r="F25" s="123">
        <v>10000</v>
      </c>
      <c r="G25" s="124">
        <v>8500</v>
      </c>
      <c r="H25" s="41">
        <f t="shared" si="3"/>
        <v>0.1111111111111111</v>
      </c>
      <c r="I25" s="27">
        <f t="shared" si="4"/>
        <v>-0.15</v>
      </c>
      <c r="J25" s="18" t="s">
        <v>904</v>
      </c>
      <c r="K25" s="51" t="s">
        <v>527</v>
      </c>
      <c r="L25" s="18"/>
      <c r="M25" s="129">
        <v>8000</v>
      </c>
      <c r="N25" s="123">
        <v>8000</v>
      </c>
      <c r="O25" s="124">
        <v>6500</v>
      </c>
      <c r="P25" s="41">
        <f>(N25-M25)/M25</f>
        <v>0</v>
      </c>
      <c r="Q25" s="27">
        <f t="shared" si="5"/>
        <v>-0.1875</v>
      </c>
    </row>
    <row r="26" spans="1:22" x14ac:dyDescent="0.3">
      <c r="A26" s="18" t="s">
        <v>456</v>
      </c>
      <c r="B26" s="18" t="s">
        <v>465</v>
      </c>
      <c r="C26" s="18"/>
      <c r="D26" s="18"/>
      <c r="E26" s="129">
        <v>30000</v>
      </c>
      <c r="F26" s="123">
        <v>30000</v>
      </c>
      <c r="G26" s="124">
        <v>30000</v>
      </c>
      <c r="H26" s="41">
        <f t="shared" si="3"/>
        <v>0</v>
      </c>
      <c r="I26" s="27">
        <f t="shared" si="4"/>
        <v>0</v>
      </c>
      <c r="J26" s="18"/>
      <c r="K26" s="52" t="s">
        <v>7</v>
      </c>
      <c r="L26" s="24"/>
      <c r="M26" s="130">
        <f>SUM(M23:M25)</f>
        <v>15500</v>
      </c>
      <c r="N26" s="125">
        <f>SUM(N23:N25)</f>
        <v>16000</v>
      </c>
      <c r="O26" s="126">
        <f>SUM(O23:O25)</f>
        <v>14500</v>
      </c>
      <c r="P26" s="42">
        <f>(N26-M26)/M26</f>
        <v>3.2258064516129031E-2</v>
      </c>
      <c r="Q26" s="27">
        <f t="shared" si="5"/>
        <v>-9.375E-2</v>
      </c>
      <c r="V26" s="53"/>
    </row>
    <row r="27" spans="1:22" x14ac:dyDescent="0.3">
      <c r="A27" s="18" t="s">
        <v>457</v>
      </c>
      <c r="B27" s="18" t="s">
        <v>466</v>
      </c>
      <c r="C27" s="18"/>
      <c r="D27" s="18"/>
      <c r="E27" s="129">
        <v>2000</v>
      </c>
      <c r="F27" s="123">
        <v>2000</v>
      </c>
      <c r="G27" s="124">
        <v>4000</v>
      </c>
      <c r="H27" s="41">
        <f t="shared" si="3"/>
        <v>0</v>
      </c>
      <c r="I27" s="27">
        <f t="shared" si="4"/>
        <v>1</v>
      </c>
      <c r="J27" s="18"/>
      <c r="O27" s="60"/>
      <c r="V27" s="53"/>
    </row>
    <row r="28" spans="1:22" x14ac:dyDescent="0.3">
      <c r="A28" s="18" t="s">
        <v>458</v>
      </c>
      <c r="B28" s="18" t="s">
        <v>418</v>
      </c>
      <c r="C28" s="18"/>
      <c r="D28" s="18"/>
      <c r="E28" s="129">
        <v>4000</v>
      </c>
      <c r="F28" s="123">
        <v>4200</v>
      </c>
      <c r="G28" s="124">
        <v>6000</v>
      </c>
      <c r="H28" s="41">
        <f t="shared" si="3"/>
        <v>0.05</v>
      </c>
      <c r="I28" s="27">
        <f t="shared" si="4"/>
        <v>0.42857142857142855</v>
      </c>
      <c r="J28" s="26" t="s">
        <v>903</v>
      </c>
      <c r="K28" s="63"/>
      <c r="L28" s="31"/>
      <c r="M28" s="57" t="s">
        <v>1</v>
      </c>
      <c r="N28" s="22" t="s">
        <v>901</v>
      </c>
      <c r="O28" s="23" t="s">
        <v>2</v>
      </c>
      <c r="P28" s="22" t="s">
        <v>3</v>
      </c>
      <c r="Q28" s="23" t="s">
        <v>3</v>
      </c>
      <c r="S28" s="4"/>
      <c r="V28" s="53"/>
    </row>
    <row r="29" spans="1:22" x14ac:dyDescent="0.3">
      <c r="A29" s="18" t="s">
        <v>459</v>
      </c>
      <c r="B29" s="18" t="s">
        <v>467</v>
      </c>
      <c r="C29" s="18"/>
      <c r="D29" s="18"/>
      <c r="E29" s="129">
        <v>900</v>
      </c>
      <c r="F29" s="123">
        <v>950</v>
      </c>
      <c r="G29" s="124">
        <v>1200</v>
      </c>
      <c r="H29" s="41">
        <f t="shared" si="3"/>
        <v>5.5555555555555552E-2</v>
      </c>
      <c r="I29" s="27">
        <f t="shared" si="4"/>
        <v>0.26315789473684209</v>
      </c>
      <c r="J29" s="19"/>
      <c r="K29" s="63"/>
      <c r="L29" s="31"/>
      <c r="M29" s="57">
        <v>2022</v>
      </c>
      <c r="N29" s="22">
        <v>2023</v>
      </c>
      <c r="O29" s="23">
        <v>2024</v>
      </c>
      <c r="P29" s="22" t="s">
        <v>894</v>
      </c>
      <c r="Q29" s="23" t="s">
        <v>902</v>
      </c>
    </row>
    <row r="30" spans="1:22" x14ac:dyDescent="0.3">
      <c r="A30" s="18" t="s">
        <v>460</v>
      </c>
      <c r="B30" s="18" t="s">
        <v>468</v>
      </c>
      <c r="C30" s="18"/>
      <c r="D30" s="18"/>
      <c r="E30" s="129">
        <v>20000</v>
      </c>
      <c r="F30" s="123">
        <v>20000</v>
      </c>
      <c r="G30" s="124">
        <v>20000</v>
      </c>
      <c r="H30" s="41">
        <f t="shared" si="3"/>
        <v>0</v>
      </c>
      <c r="I30" s="27">
        <f t="shared" si="4"/>
        <v>0</v>
      </c>
      <c r="J30" s="26"/>
      <c r="K30" s="64"/>
      <c r="L30" s="28"/>
      <c r="M30" s="130">
        <f>(E13+E32+E73+E84+M19+M26)</f>
        <v>842832</v>
      </c>
      <c r="N30" s="125">
        <f>(F13+F32+F73+F84+N19+N26)</f>
        <v>780757.25</v>
      </c>
      <c r="O30" s="126">
        <f>(G13+G32+G73+G84+O19+O26)</f>
        <v>814061.5</v>
      </c>
      <c r="P30" s="42">
        <f>(N30-M30)/M30</f>
        <v>-7.3650205497655524E-2</v>
      </c>
      <c r="Q30" s="29">
        <f>(O30-N30)/N30</f>
        <v>4.2656344209419765E-2</v>
      </c>
    </row>
    <row r="31" spans="1:22" x14ac:dyDescent="0.3">
      <c r="A31" s="18" t="s">
        <v>461</v>
      </c>
      <c r="B31" s="18" t="s">
        <v>469</v>
      </c>
      <c r="C31" s="18"/>
      <c r="D31" s="18"/>
      <c r="E31" s="129">
        <v>4000</v>
      </c>
      <c r="F31" s="123">
        <v>5000</v>
      </c>
      <c r="G31" s="124">
        <v>5500</v>
      </c>
      <c r="H31" s="41">
        <f t="shared" si="3"/>
        <v>0.25</v>
      </c>
      <c r="I31" s="27">
        <f t="shared" si="4"/>
        <v>0.1</v>
      </c>
    </row>
    <row r="32" spans="1:22" x14ac:dyDescent="0.3">
      <c r="A32" s="18"/>
      <c r="B32" s="24" t="s">
        <v>7</v>
      </c>
      <c r="C32" s="24"/>
      <c r="D32" s="24"/>
      <c r="E32" s="130">
        <f>SUM(E19:E31)</f>
        <v>216080</v>
      </c>
      <c r="F32" s="125">
        <f>SUM(F19:F31)</f>
        <v>192655</v>
      </c>
      <c r="G32" s="126">
        <f>SUM(G19:G31)</f>
        <v>198408.75</v>
      </c>
      <c r="H32" s="42">
        <f t="shared" si="3"/>
        <v>-0.10840892262125139</v>
      </c>
      <c r="I32" s="29">
        <f t="shared" si="4"/>
        <v>2.9865562793594768E-2</v>
      </c>
    </row>
    <row r="44" spans="4:14" x14ac:dyDescent="0.3">
      <c r="E44" s="6" t="s">
        <v>875</v>
      </c>
      <c r="N44" s="6" t="s">
        <v>877</v>
      </c>
    </row>
    <row r="46" spans="4:14" x14ac:dyDescent="0.3">
      <c r="D46" s="6"/>
      <c r="M46" s="6"/>
    </row>
    <row r="49" spans="1:9" x14ac:dyDescent="0.3">
      <c r="A49" s="24" t="s">
        <v>470</v>
      </c>
      <c r="B49" s="18"/>
      <c r="C49" s="18"/>
      <c r="D49" s="18"/>
      <c r="E49" s="57" t="s">
        <v>1</v>
      </c>
      <c r="F49" s="22" t="s">
        <v>901</v>
      </c>
      <c r="G49" s="23" t="s">
        <v>2</v>
      </c>
      <c r="H49" s="22" t="s">
        <v>3</v>
      </c>
      <c r="I49" s="23" t="s">
        <v>3</v>
      </c>
    </row>
    <row r="50" spans="1:9" x14ac:dyDescent="0.3">
      <c r="A50" s="18"/>
      <c r="B50" s="18"/>
      <c r="C50" s="18"/>
      <c r="D50" s="18"/>
      <c r="E50" s="57">
        <v>2022</v>
      </c>
      <c r="F50" s="22">
        <v>2023</v>
      </c>
      <c r="G50" s="23">
        <v>2024</v>
      </c>
      <c r="H50" s="22" t="s">
        <v>894</v>
      </c>
      <c r="I50" s="23" t="s">
        <v>902</v>
      </c>
    </row>
    <row r="51" spans="1:9" x14ac:dyDescent="0.3">
      <c r="A51" s="18" t="s">
        <v>471</v>
      </c>
      <c r="B51" s="18" t="s">
        <v>488</v>
      </c>
      <c r="C51" s="18"/>
      <c r="D51" s="18"/>
      <c r="E51" s="129">
        <v>135000</v>
      </c>
      <c r="F51" s="123">
        <v>90000</v>
      </c>
      <c r="G51" s="124">
        <v>95000</v>
      </c>
      <c r="H51" s="41">
        <f>(F51-E51)/E51</f>
        <v>-0.33333333333333331</v>
      </c>
      <c r="I51" s="27">
        <f>(G51-F51)/F51</f>
        <v>5.5555555555555552E-2</v>
      </c>
    </row>
    <row r="52" spans="1:9" x14ac:dyDescent="0.3">
      <c r="A52" s="18" t="s">
        <v>472</v>
      </c>
      <c r="B52" s="18" t="s">
        <v>489</v>
      </c>
      <c r="C52" s="18"/>
      <c r="D52" s="18"/>
      <c r="E52" s="129">
        <v>20000</v>
      </c>
      <c r="F52" s="123">
        <v>12000</v>
      </c>
      <c r="G52" s="124">
        <v>11000</v>
      </c>
      <c r="H52" s="41">
        <f t="shared" ref="H52:H73" si="6">(F52-E52)/E52</f>
        <v>-0.4</v>
      </c>
      <c r="I52" s="27">
        <f t="shared" ref="I52:I73" si="7">(G52-F52)/F52</f>
        <v>-8.3333333333333329E-2</v>
      </c>
    </row>
    <row r="53" spans="1:9" x14ac:dyDescent="0.3">
      <c r="A53" s="18" t="s">
        <v>473</v>
      </c>
      <c r="B53" s="18" t="s">
        <v>490</v>
      </c>
      <c r="C53" s="18"/>
      <c r="D53" s="18"/>
      <c r="E53" s="129">
        <f>(E51)*0.062</f>
        <v>8370</v>
      </c>
      <c r="F53" s="123">
        <f>(F51)*0.062</f>
        <v>5580</v>
      </c>
      <c r="G53" s="124">
        <f>(G51)*0.062</f>
        <v>5890</v>
      </c>
      <c r="H53" s="41">
        <f t="shared" si="6"/>
        <v>-0.33333333333333331</v>
      </c>
      <c r="I53" s="27">
        <f t="shared" si="7"/>
        <v>5.5555555555555552E-2</v>
      </c>
    </row>
    <row r="54" spans="1:9" x14ac:dyDescent="0.3">
      <c r="A54" s="18" t="s">
        <v>474</v>
      </c>
      <c r="B54" s="18" t="s">
        <v>491</v>
      </c>
      <c r="C54" s="18"/>
      <c r="D54" s="18"/>
      <c r="E54" s="129">
        <f>(E51)*0.0145</f>
        <v>1957.5</v>
      </c>
      <c r="F54" s="123">
        <f>(F51)*0.0145</f>
        <v>1305</v>
      </c>
      <c r="G54" s="124">
        <f>(G51)*0.0145</f>
        <v>1377.5</v>
      </c>
      <c r="H54" s="41">
        <f t="shared" si="6"/>
        <v>-0.33333333333333331</v>
      </c>
      <c r="I54" s="27">
        <f t="shared" si="7"/>
        <v>5.5555555555555552E-2</v>
      </c>
    </row>
    <row r="55" spans="1:9" x14ac:dyDescent="0.3">
      <c r="A55" s="18" t="s">
        <v>475</v>
      </c>
      <c r="B55" s="18" t="s">
        <v>428</v>
      </c>
      <c r="C55" s="18"/>
      <c r="D55" s="18"/>
      <c r="E55" s="129">
        <f>(E51)*0.0675</f>
        <v>9112.5</v>
      </c>
      <c r="F55" s="123">
        <f>(F51)*0.068</f>
        <v>6120</v>
      </c>
      <c r="G55" s="124">
        <f>(G51)*0.069</f>
        <v>6555.0000000000009</v>
      </c>
      <c r="H55" s="41">
        <f t="shared" si="6"/>
        <v>-0.32839506172839505</v>
      </c>
      <c r="I55" s="27">
        <f t="shared" si="7"/>
        <v>7.107843137254917E-2</v>
      </c>
    </row>
    <row r="56" spans="1:9" x14ac:dyDescent="0.3">
      <c r="A56" s="18" t="s">
        <v>476</v>
      </c>
      <c r="B56" s="18" t="s">
        <v>308</v>
      </c>
      <c r="C56" s="18"/>
      <c r="D56" s="18"/>
      <c r="E56" s="129">
        <v>150</v>
      </c>
      <c r="F56" s="123">
        <v>100</v>
      </c>
      <c r="G56" s="124">
        <v>100</v>
      </c>
      <c r="H56" s="41">
        <f t="shared" si="6"/>
        <v>-0.33333333333333331</v>
      </c>
      <c r="I56" s="27">
        <f t="shared" si="7"/>
        <v>0</v>
      </c>
    </row>
    <row r="57" spans="1:9" x14ac:dyDescent="0.3">
      <c r="A57" s="18" t="s">
        <v>477</v>
      </c>
      <c r="B57" s="18" t="s">
        <v>338</v>
      </c>
      <c r="C57" s="18"/>
      <c r="D57" s="18"/>
      <c r="E57" s="129">
        <v>25000</v>
      </c>
      <c r="F57" s="123">
        <v>30000</v>
      </c>
      <c r="G57" s="124">
        <v>25000</v>
      </c>
      <c r="H57" s="41">
        <f t="shared" si="6"/>
        <v>0.2</v>
      </c>
      <c r="I57" s="27">
        <f t="shared" si="7"/>
        <v>-0.16666666666666666</v>
      </c>
    </row>
    <row r="58" spans="1:9" x14ac:dyDescent="0.3">
      <c r="A58" s="18" t="s">
        <v>478</v>
      </c>
      <c r="B58" s="18" t="s">
        <v>492</v>
      </c>
      <c r="C58" s="18"/>
      <c r="D58" s="18"/>
      <c r="E58" s="129">
        <v>210000</v>
      </c>
      <c r="F58" s="123">
        <v>250000</v>
      </c>
      <c r="G58" s="124">
        <v>260000</v>
      </c>
      <c r="H58" s="41">
        <f t="shared" si="6"/>
        <v>0.19047619047619047</v>
      </c>
      <c r="I58" s="27">
        <f t="shared" si="7"/>
        <v>0.04</v>
      </c>
    </row>
    <row r="59" spans="1:9" x14ac:dyDescent="0.3">
      <c r="A59" s="18" t="s">
        <v>797</v>
      </c>
      <c r="B59" s="18" t="s">
        <v>798</v>
      </c>
      <c r="C59" s="18"/>
      <c r="D59" s="18"/>
      <c r="E59" s="129">
        <v>37500</v>
      </c>
      <c r="F59" s="123">
        <v>32500</v>
      </c>
      <c r="G59" s="124">
        <v>45000</v>
      </c>
      <c r="H59" s="41">
        <f t="shared" si="6"/>
        <v>-0.13333333333333333</v>
      </c>
      <c r="I59" s="27">
        <f t="shared" si="7"/>
        <v>0.38461538461538464</v>
      </c>
    </row>
    <row r="60" spans="1:9" x14ac:dyDescent="0.3">
      <c r="A60" s="18" t="s">
        <v>799</v>
      </c>
      <c r="B60" s="18" t="s">
        <v>803</v>
      </c>
      <c r="C60" s="18"/>
      <c r="D60" s="18"/>
      <c r="E60" s="129">
        <v>2200</v>
      </c>
      <c r="F60" s="123">
        <v>1500</v>
      </c>
      <c r="G60" s="124">
        <v>3000</v>
      </c>
      <c r="H60" s="41">
        <f t="shared" si="6"/>
        <v>-0.31818181818181818</v>
      </c>
      <c r="I60" s="27">
        <f t="shared" si="7"/>
        <v>1</v>
      </c>
    </row>
    <row r="61" spans="1:9" x14ac:dyDescent="0.3">
      <c r="A61" s="18" t="s">
        <v>800</v>
      </c>
      <c r="B61" s="18" t="s">
        <v>804</v>
      </c>
      <c r="C61" s="18"/>
      <c r="D61" s="18"/>
      <c r="E61" s="129">
        <f>(E59)*0.062</f>
        <v>2325</v>
      </c>
      <c r="F61" s="123">
        <f>(F59)*0.062</f>
        <v>2015</v>
      </c>
      <c r="G61" s="124">
        <f>(G59)*0.062</f>
        <v>2790</v>
      </c>
      <c r="H61" s="41">
        <f t="shared" si="6"/>
        <v>-0.13333333333333333</v>
      </c>
      <c r="I61" s="27">
        <f t="shared" si="7"/>
        <v>0.38461538461538464</v>
      </c>
    </row>
    <row r="62" spans="1:9" x14ac:dyDescent="0.3">
      <c r="A62" s="18" t="s">
        <v>801</v>
      </c>
      <c r="B62" s="18" t="s">
        <v>805</v>
      </c>
      <c r="C62" s="18"/>
      <c r="D62" s="18"/>
      <c r="E62" s="129">
        <f>(E59)*0.0145</f>
        <v>543.75</v>
      </c>
      <c r="F62" s="123">
        <f>(F59)*0.0145</f>
        <v>471.25</v>
      </c>
      <c r="G62" s="124">
        <f>(G59)*0.0145</f>
        <v>652.5</v>
      </c>
      <c r="H62" s="41">
        <f t="shared" si="6"/>
        <v>-0.13333333333333333</v>
      </c>
      <c r="I62" s="27">
        <f t="shared" si="7"/>
        <v>0.38461538461538464</v>
      </c>
    </row>
    <row r="63" spans="1:9" x14ac:dyDescent="0.3">
      <c r="A63" s="18" t="s">
        <v>802</v>
      </c>
      <c r="B63" s="18" t="s">
        <v>806</v>
      </c>
      <c r="C63" s="18"/>
      <c r="D63" s="18"/>
      <c r="E63" s="129">
        <f>(E59)*0.0675</f>
        <v>2531.25</v>
      </c>
      <c r="F63" s="123">
        <f>(F59)*0.068</f>
        <v>2210</v>
      </c>
      <c r="G63" s="124">
        <f>(G59)*0.069</f>
        <v>3105.0000000000005</v>
      </c>
      <c r="H63" s="41">
        <f t="shared" si="6"/>
        <v>-0.12691358024691357</v>
      </c>
      <c r="I63" s="27">
        <f t="shared" si="7"/>
        <v>0.40497737556561109</v>
      </c>
    </row>
    <row r="64" spans="1:9" x14ac:dyDescent="0.3">
      <c r="A64" s="18" t="s">
        <v>479</v>
      </c>
      <c r="B64" s="18" t="s">
        <v>493</v>
      </c>
      <c r="C64" s="18"/>
      <c r="D64" s="18"/>
      <c r="E64" s="129">
        <v>12000</v>
      </c>
      <c r="F64" s="123">
        <v>12500</v>
      </c>
      <c r="G64" s="124">
        <v>12000</v>
      </c>
      <c r="H64" s="41">
        <f t="shared" si="6"/>
        <v>4.1666666666666664E-2</v>
      </c>
      <c r="I64" s="27">
        <f t="shared" si="7"/>
        <v>-0.04</v>
      </c>
    </row>
    <row r="65" spans="1:9" x14ac:dyDescent="0.3">
      <c r="A65" s="18" t="s">
        <v>480</v>
      </c>
      <c r="B65" s="18" t="s">
        <v>494</v>
      </c>
      <c r="C65" s="18"/>
      <c r="D65" s="18"/>
      <c r="E65" s="129">
        <v>20000</v>
      </c>
      <c r="F65" s="123">
        <v>20000</v>
      </c>
      <c r="G65" s="124">
        <v>20000</v>
      </c>
      <c r="H65" s="41">
        <f t="shared" si="6"/>
        <v>0</v>
      </c>
      <c r="I65" s="27">
        <f t="shared" si="7"/>
        <v>0</v>
      </c>
    </row>
    <row r="66" spans="1:9" x14ac:dyDescent="0.3">
      <c r="A66" s="18" t="s">
        <v>481</v>
      </c>
      <c r="B66" s="18" t="s">
        <v>495</v>
      </c>
      <c r="C66" s="18"/>
      <c r="D66" s="18"/>
      <c r="E66" s="129">
        <v>2100</v>
      </c>
      <c r="F66" s="123">
        <v>2200</v>
      </c>
      <c r="G66" s="124">
        <v>2000</v>
      </c>
      <c r="H66" s="41">
        <f t="shared" si="6"/>
        <v>4.7619047619047616E-2</v>
      </c>
      <c r="I66" s="27">
        <f t="shared" si="7"/>
        <v>-9.0909090909090912E-2</v>
      </c>
    </row>
    <row r="67" spans="1:9" x14ac:dyDescent="0.3">
      <c r="A67" s="18" t="s">
        <v>482</v>
      </c>
      <c r="B67" s="18" t="s">
        <v>496</v>
      </c>
      <c r="C67" s="18"/>
      <c r="D67" s="18"/>
      <c r="E67" s="129">
        <v>250</v>
      </c>
      <c r="F67" s="123">
        <v>250</v>
      </c>
      <c r="G67" s="124">
        <v>250</v>
      </c>
      <c r="H67" s="41">
        <f t="shared" si="6"/>
        <v>0</v>
      </c>
      <c r="I67" s="27">
        <f t="shared" si="7"/>
        <v>0</v>
      </c>
    </row>
    <row r="68" spans="1:9" x14ac:dyDescent="0.3">
      <c r="A68" s="18" t="s">
        <v>483</v>
      </c>
      <c r="B68" s="18" t="s">
        <v>497</v>
      </c>
      <c r="C68" s="18"/>
      <c r="D68" s="18"/>
      <c r="E68" s="129">
        <v>1000</v>
      </c>
      <c r="F68" s="123">
        <v>1200</v>
      </c>
      <c r="G68" s="124">
        <v>1000</v>
      </c>
      <c r="H68" s="41">
        <f t="shared" si="6"/>
        <v>0.2</v>
      </c>
      <c r="I68" s="27">
        <f t="shared" si="7"/>
        <v>-0.16666666666666666</v>
      </c>
    </row>
    <row r="69" spans="1:9" x14ac:dyDescent="0.3">
      <c r="A69" s="18" t="s">
        <v>484</v>
      </c>
      <c r="B69" s="18" t="s">
        <v>498</v>
      </c>
      <c r="C69" s="18"/>
      <c r="D69" s="18"/>
      <c r="E69" s="129">
        <v>400</v>
      </c>
      <c r="F69" s="123">
        <v>400</v>
      </c>
      <c r="G69" s="124">
        <v>400</v>
      </c>
      <c r="H69" s="41">
        <f t="shared" si="6"/>
        <v>0</v>
      </c>
      <c r="I69" s="27">
        <f t="shared" si="7"/>
        <v>0</v>
      </c>
    </row>
    <row r="70" spans="1:9" x14ac:dyDescent="0.3">
      <c r="A70" s="18" t="s">
        <v>485</v>
      </c>
      <c r="B70" s="18" t="s">
        <v>499</v>
      </c>
      <c r="C70" s="18"/>
      <c r="D70" s="18"/>
      <c r="E70" s="129">
        <v>1500</v>
      </c>
      <c r="F70" s="123">
        <v>1750</v>
      </c>
      <c r="G70" s="124">
        <v>1500</v>
      </c>
      <c r="H70" s="41">
        <f t="shared" si="6"/>
        <v>0.16666666666666666</v>
      </c>
      <c r="I70" s="27">
        <f t="shared" si="7"/>
        <v>-0.14285714285714285</v>
      </c>
    </row>
    <row r="71" spans="1:9" x14ac:dyDescent="0.3">
      <c r="A71" s="18" t="s">
        <v>486</v>
      </c>
      <c r="B71" s="18" t="s">
        <v>500</v>
      </c>
      <c r="C71" s="18"/>
      <c r="D71" s="18"/>
      <c r="E71" s="129">
        <v>50000</v>
      </c>
      <c r="F71" s="123">
        <v>45000</v>
      </c>
      <c r="G71" s="124">
        <v>52500</v>
      </c>
      <c r="H71" s="41">
        <f t="shared" si="6"/>
        <v>-0.1</v>
      </c>
      <c r="I71" s="27">
        <f t="shared" si="7"/>
        <v>0.16666666666666666</v>
      </c>
    </row>
    <row r="72" spans="1:9" x14ac:dyDescent="0.3">
      <c r="A72" s="18" t="s">
        <v>487</v>
      </c>
      <c r="B72" s="18" t="s">
        <v>501</v>
      </c>
      <c r="C72" s="18"/>
      <c r="D72" s="18"/>
      <c r="E72" s="129">
        <v>6000</v>
      </c>
      <c r="F72" s="123">
        <v>6500</v>
      </c>
      <c r="G72" s="124">
        <v>4000</v>
      </c>
      <c r="H72" s="41">
        <f t="shared" si="6"/>
        <v>8.3333333333333329E-2</v>
      </c>
      <c r="I72" s="27">
        <f t="shared" si="7"/>
        <v>-0.38461538461538464</v>
      </c>
    </row>
    <row r="73" spans="1:9" x14ac:dyDescent="0.3">
      <c r="A73" s="18"/>
      <c r="B73" s="24" t="s">
        <v>7</v>
      </c>
      <c r="C73" s="24"/>
      <c r="D73" s="24"/>
      <c r="E73" s="130">
        <f>SUM(E51:E72)</f>
        <v>547940</v>
      </c>
      <c r="F73" s="125">
        <f>SUM(F51:F72)</f>
        <v>523601.25</v>
      </c>
      <c r="G73" s="126">
        <f>SUM(G51:G72)</f>
        <v>553120</v>
      </c>
      <c r="H73" s="41">
        <f t="shared" si="6"/>
        <v>-4.4418640727086907E-2</v>
      </c>
      <c r="I73" s="29">
        <f t="shared" si="7"/>
        <v>5.6376393295470555E-2</v>
      </c>
    </row>
    <row r="75" spans="1:9" x14ac:dyDescent="0.3">
      <c r="A75" s="24" t="s">
        <v>502</v>
      </c>
      <c r="B75" s="18"/>
      <c r="C75" s="18"/>
      <c r="D75" s="18"/>
      <c r="E75" s="57" t="s">
        <v>1</v>
      </c>
      <c r="F75" s="22" t="s">
        <v>901</v>
      </c>
      <c r="G75" s="23" t="s">
        <v>2</v>
      </c>
      <c r="H75" s="22" t="s">
        <v>3</v>
      </c>
      <c r="I75" s="23" t="s">
        <v>3</v>
      </c>
    </row>
    <row r="76" spans="1:9" x14ac:dyDescent="0.3">
      <c r="A76" s="18"/>
      <c r="B76" s="18"/>
      <c r="C76" s="18"/>
      <c r="D76" s="18"/>
      <c r="E76" s="57">
        <v>2022</v>
      </c>
      <c r="F76" s="22">
        <v>2023</v>
      </c>
      <c r="G76" s="23">
        <v>2024</v>
      </c>
      <c r="H76" s="22" t="s">
        <v>894</v>
      </c>
      <c r="I76" s="23" t="s">
        <v>902</v>
      </c>
    </row>
    <row r="77" spans="1:9" x14ac:dyDescent="0.3">
      <c r="A77" s="18" t="s">
        <v>807</v>
      </c>
      <c r="B77" s="18" t="s">
        <v>812</v>
      </c>
      <c r="C77" s="18"/>
      <c r="D77" s="18"/>
      <c r="E77" s="129">
        <v>18000</v>
      </c>
      <c r="F77" s="123">
        <v>15000</v>
      </c>
      <c r="G77" s="124">
        <v>17500</v>
      </c>
      <c r="H77" s="41">
        <f>(F77-E77)/E77</f>
        <v>-0.16666666666666666</v>
      </c>
      <c r="I77" s="27">
        <f>(G77-F77)/F77</f>
        <v>0.16666666666666666</v>
      </c>
    </row>
    <row r="78" spans="1:9" x14ac:dyDescent="0.3">
      <c r="A78" s="18" t="s">
        <v>808</v>
      </c>
      <c r="B78" s="18" t="s">
        <v>813</v>
      </c>
      <c r="C78" s="18"/>
      <c r="D78" s="18"/>
      <c r="E78" s="129">
        <v>2000</v>
      </c>
      <c r="F78" s="123">
        <v>2000</v>
      </c>
      <c r="G78" s="124">
        <v>2000</v>
      </c>
      <c r="H78" s="41">
        <f t="shared" ref="H78:H84" si="8">(F78-E78)/E78</f>
        <v>0</v>
      </c>
      <c r="I78" s="27">
        <f t="shared" ref="I78:I84" si="9">(G78-F78)/F78</f>
        <v>0</v>
      </c>
    </row>
    <row r="79" spans="1:9" x14ac:dyDescent="0.3">
      <c r="A79" s="18" t="s">
        <v>809</v>
      </c>
      <c r="B79" s="18" t="s">
        <v>814</v>
      </c>
      <c r="C79" s="18"/>
      <c r="D79" s="18"/>
      <c r="E79" s="129">
        <f>(E77)*0.062</f>
        <v>1116</v>
      </c>
      <c r="F79" s="123">
        <f>(F77)*0.062</f>
        <v>930</v>
      </c>
      <c r="G79" s="124">
        <f>(G77)*0.062</f>
        <v>1085</v>
      </c>
      <c r="H79" s="41">
        <f t="shared" si="8"/>
        <v>-0.16666666666666666</v>
      </c>
      <c r="I79" s="27">
        <f t="shared" si="9"/>
        <v>0.16666666666666666</v>
      </c>
    </row>
    <row r="80" spans="1:9" x14ac:dyDescent="0.3">
      <c r="A80" s="18" t="s">
        <v>810</v>
      </c>
      <c r="B80" s="18" t="s">
        <v>815</v>
      </c>
      <c r="C80" s="18"/>
      <c r="D80" s="18"/>
      <c r="E80" s="129">
        <f>(E77)*0.0145</f>
        <v>261</v>
      </c>
      <c r="F80" s="123">
        <f>(F77)*0.0145</f>
        <v>217.5</v>
      </c>
      <c r="G80" s="124">
        <f>(G77)*0.0145</f>
        <v>253.75</v>
      </c>
      <c r="H80" s="41">
        <f t="shared" si="8"/>
        <v>-0.16666666666666666</v>
      </c>
      <c r="I80" s="27">
        <f t="shared" si="9"/>
        <v>0.16666666666666666</v>
      </c>
    </row>
    <row r="81" spans="1:9" x14ac:dyDescent="0.3">
      <c r="A81" s="18" t="s">
        <v>811</v>
      </c>
      <c r="B81" s="18" t="s">
        <v>816</v>
      </c>
      <c r="C81" s="18"/>
      <c r="D81" s="18"/>
      <c r="E81" s="129">
        <f>(E77)*0.0675</f>
        <v>1215</v>
      </c>
      <c r="F81" s="123">
        <f>(F77)*0.068</f>
        <v>1020.0000000000001</v>
      </c>
      <c r="G81" s="124">
        <f>(G77)*0.069</f>
        <v>1207.5</v>
      </c>
      <c r="H81" s="41">
        <f t="shared" si="8"/>
        <v>-0.16049382716049373</v>
      </c>
      <c r="I81" s="27">
        <f t="shared" si="9"/>
        <v>0.18382352941176458</v>
      </c>
    </row>
    <row r="82" spans="1:9" x14ac:dyDescent="0.3">
      <c r="A82" s="18" t="s">
        <v>503</v>
      </c>
      <c r="B82" s="18" t="s">
        <v>505</v>
      </c>
      <c r="C82" s="18"/>
      <c r="D82" s="18"/>
      <c r="E82" s="129">
        <v>1500</v>
      </c>
      <c r="F82" s="123">
        <v>2500</v>
      </c>
      <c r="G82" s="124">
        <v>2500</v>
      </c>
      <c r="H82" s="41">
        <f t="shared" si="8"/>
        <v>0.66666666666666663</v>
      </c>
      <c r="I82" s="27">
        <f t="shared" si="9"/>
        <v>0</v>
      </c>
    </row>
    <row r="83" spans="1:9" x14ac:dyDescent="0.3">
      <c r="A83" s="18" t="s">
        <v>504</v>
      </c>
      <c r="B83" s="18" t="s">
        <v>506</v>
      </c>
      <c r="C83" s="18"/>
      <c r="D83" s="18"/>
      <c r="E83" s="129">
        <v>1500</v>
      </c>
      <c r="F83" s="123">
        <v>2500</v>
      </c>
      <c r="G83" s="124">
        <v>2500</v>
      </c>
      <c r="H83" s="41">
        <f t="shared" si="8"/>
        <v>0.66666666666666663</v>
      </c>
      <c r="I83" s="27">
        <f t="shared" si="9"/>
        <v>0</v>
      </c>
    </row>
    <row r="84" spans="1:9" x14ac:dyDescent="0.3">
      <c r="A84" s="18"/>
      <c r="B84" s="24" t="s">
        <v>7</v>
      </c>
      <c r="C84" s="18"/>
      <c r="D84" s="18"/>
      <c r="E84" s="130">
        <f>SUM(E77:E83)</f>
        <v>25592</v>
      </c>
      <c r="F84" s="125">
        <f>SUM(F77:F83)</f>
        <v>24167.5</v>
      </c>
      <c r="G84" s="126">
        <f>SUM(G77:G83)</f>
        <v>27046.25</v>
      </c>
      <c r="H84" s="42">
        <f t="shared" si="8"/>
        <v>-5.5661925601750546E-2</v>
      </c>
      <c r="I84" s="29">
        <f t="shared" si="9"/>
        <v>0.11911658218682114</v>
      </c>
    </row>
    <row r="88" spans="1:9" x14ac:dyDescent="0.3">
      <c r="E88" s="6" t="s">
        <v>876</v>
      </c>
    </row>
    <row r="93" spans="1:9" x14ac:dyDescent="0.3">
      <c r="D93" s="6"/>
    </row>
  </sheetData>
  <printOptions gridLines="1"/>
  <pageMargins left="1" right="1" top="1" bottom="1" header="0.5" footer="0.5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J46"/>
  <sheetViews>
    <sheetView view="pageLayout" zoomScale="90" zoomScaleNormal="90" zoomScalePageLayoutView="90" workbookViewId="0">
      <selection activeCell="I4" sqref="I4"/>
    </sheetView>
  </sheetViews>
  <sheetFormatPr defaultRowHeight="14.4" x14ac:dyDescent="0.3"/>
  <cols>
    <col min="1" max="1" width="7.33203125" customWidth="1"/>
    <col min="4" max="6" width="10.44140625" bestFit="1" customWidth="1"/>
  </cols>
  <sheetData>
    <row r="3" spans="2:10" x14ac:dyDescent="0.3">
      <c r="J3" s="1"/>
    </row>
    <row r="4" spans="2:10" x14ac:dyDescent="0.3">
      <c r="J4" s="1"/>
    </row>
    <row r="5" spans="2:10" x14ac:dyDescent="0.3">
      <c r="J5" s="5"/>
    </row>
    <row r="6" spans="2:10" x14ac:dyDescent="0.3">
      <c r="J6" s="2"/>
    </row>
    <row r="7" spans="2:10" x14ac:dyDescent="0.3">
      <c r="B7" s="24" t="s">
        <v>528</v>
      </c>
      <c r="C7" s="18"/>
      <c r="D7" s="57" t="s">
        <v>1</v>
      </c>
      <c r="E7" s="22" t="s">
        <v>901</v>
      </c>
      <c r="F7" s="23" t="s">
        <v>2</v>
      </c>
      <c r="G7" s="22" t="s">
        <v>3</v>
      </c>
      <c r="H7" s="23" t="s">
        <v>3</v>
      </c>
    </row>
    <row r="8" spans="2:10" x14ac:dyDescent="0.3">
      <c r="B8" s="18"/>
      <c r="C8" s="18"/>
      <c r="D8" s="57">
        <v>2022</v>
      </c>
      <c r="E8" s="22">
        <v>2023</v>
      </c>
      <c r="F8" s="23">
        <v>2024</v>
      </c>
      <c r="G8" s="22" t="s">
        <v>894</v>
      </c>
      <c r="H8" s="23" t="s">
        <v>902</v>
      </c>
    </row>
    <row r="9" spans="2:10" x14ac:dyDescent="0.3">
      <c r="B9" s="18" t="s">
        <v>534</v>
      </c>
      <c r="C9" s="18"/>
      <c r="D9" s="129">
        <v>28919</v>
      </c>
      <c r="E9" s="123">
        <v>29320</v>
      </c>
      <c r="F9" s="124">
        <v>29320</v>
      </c>
      <c r="G9" s="41">
        <f>(E9-D9)/D9</f>
        <v>1.3866316262664683E-2</v>
      </c>
      <c r="H9" s="27">
        <f>(F9-E9)/E9</f>
        <v>0</v>
      </c>
    </row>
    <row r="10" spans="2:10" x14ac:dyDescent="0.3">
      <c r="B10" s="24" t="s">
        <v>7</v>
      </c>
      <c r="C10" s="18"/>
      <c r="D10" s="130">
        <f>(D9)</f>
        <v>28919</v>
      </c>
      <c r="E10" s="125">
        <v>29320</v>
      </c>
      <c r="F10" s="126">
        <v>29320</v>
      </c>
      <c r="G10" s="41">
        <f>(E10-D10)/D10</f>
        <v>1.3866316262664683E-2</v>
      </c>
      <c r="H10" s="29">
        <f>(F10-E10)/E10</f>
        <v>0</v>
      </c>
    </row>
    <row r="11" spans="2:10" x14ac:dyDescent="0.3">
      <c r="B11" s="18"/>
      <c r="C11" s="18"/>
      <c r="D11" s="61"/>
      <c r="E11" s="18"/>
      <c r="F11" s="18"/>
      <c r="G11" s="18"/>
      <c r="H11" s="18"/>
    </row>
    <row r="12" spans="2:10" x14ac:dyDescent="0.3">
      <c r="B12" s="18"/>
      <c r="C12" s="18"/>
      <c r="D12" s="57" t="s">
        <v>2</v>
      </c>
      <c r="E12" s="22" t="s">
        <v>2</v>
      </c>
      <c r="F12" s="23" t="s">
        <v>2</v>
      </c>
      <c r="G12" s="22" t="s">
        <v>3</v>
      </c>
      <c r="H12" s="23" t="s">
        <v>3</v>
      </c>
    </row>
    <row r="13" spans="2:10" x14ac:dyDescent="0.3">
      <c r="B13" s="18"/>
      <c r="C13" s="18"/>
      <c r="D13" s="57">
        <v>2022</v>
      </c>
      <c r="E13" s="22">
        <v>2023</v>
      </c>
      <c r="F13" s="23">
        <v>2024</v>
      </c>
      <c r="G13" s="22" t="s">
        <v>894</v>
      </c>
      <c r="H13" s="23" t="s">
        <v>902</v>
      </c>
    </row>
    <row r="14" spans="2:10" x14ac:dyDescent="0.3">
      <c r="B14" s="24" t="s">
        <v>7</v>
      </c>
      <c r="C14" s="18"/>
      <c r="D14" s="130">
        <f>(D9)</f>
        <v>28919</v>
      </c>
      <c r="E14" s="125">
        <f>(E9)</f>
        <v>29320</v>
      </c>
      <c r="F14" s="126">
        <f>(F9)</f>
        <v>29320</v>
      </c>
      <c r="G14" s="42">
        <f>(E14-D14)/D14</f>
        <v>1.3866316262664683E-2</v>
      </c>
      <c r="H14" s="29">
        <f>(F14-E14)/E14</f>
        <v>0</v>
      </c>
    </row>
    <row r="44" spans="4:5" x14ac:dyDescent="0.3">
      <c r="E44" s="6" t="s">
        <v>878</v>
      </c>
    </row>
    <row r="46" spans="4:5" x14ac:dyDescent="0.3">
      <c r="D46" s="6"/>
    </row>
  </sheetData>
  <printOptions gridLines="1"/>
  <pageMargins left="1" right="1" top="1" bottom="1" header="0.5" footer="0.5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93"/>
  <sheetViews>
    <sheetView view="pageLayout" topLeftCell="A7" zoomScale="90" zoomScaleNormal="80" zoomScalePageLayoutView="90" workbookViewId="0">
      <selection activeCell="F43" sqref="F43"/>
    </sheetView>
  </sheetViews>
  <sheetFormatPr defaultRowHeight="14.4" x14ac:dyDescent="0.3"/>
  <cols>
    <col min="2" max="2" width="8.109375" customWidth="1"/>
    <col min="4" max="4" width="8.6640625" customWidth="1"/>
    <col min="5" max="5" width="9.5546875" customWidth="1"/>
    <col min="6" max="8" width="9.33203125" customWidth="1"/>
    <col min="9" max="9" width="10" customWidth="1"/>
    <col min="10" max="10" width="8.6640625" customWidth="1"/>
  </cols>
  <sheetData>
    <row r="1" spans="1:11" x14ac:dyDescent="0.3">
      <c r="A1" s="6"/>
    </row>
    <row r="7" spans="1:11" x14ac:dyDescent="0.3">
      <c r="A7" s="24" t="s">
        <v>529</v>
      </c>
      <c r="B7" s="18"/>
      <c r="C7" s="18"/>
      <c r="D7" s="18"/>
      <c r="E7" s="22" t="s">
        <v>1</v>
      </c>
      <c r="F7" s="50" t="s">
        <v>901</v>
      </c>
      <c r="G7" s="23" t="s">
        <v>2</v>
      </c>
      <c r="H7" s="22" t="s">
        <v>3</v>
      </c>
      <c r="I7" s="23" t="s">
        <v>3</v>
      </c>
    </row>
    <row r="8" spans="1:11" x14ac:dyDescent="0.3">
      <c r="A8" s="18"/>
      <c r="B8" s="18"/>
      <c r="C8" s="18"/>
      <c r="D8" s="18"/>
      <c r="E8" s="22">
        <v>2022</v>
      </c>
      <c r="F8" s="50">
        <v>2023</v>
      </c>
      <c r="G8" s="23">
        <v>2024</v>
      </c>
      <c r="H8" s="22" t="s">
        <v>894</v>
      </c>
      <c r="I8" s="23" t="s">
        <v>902</v>
      </c>
    </row>
    <row r="9" spans="1:11" x14ac:dyDescent="0.3">
      <c r="A9" s="18" t="s">
        <v>530</v>
      </c>
      <c r="B9" s="18" t="s">
        <v>418</v>
      </c>
      <c r="C9" s="18"/>
      <c r="D9" s="18"/>
      <c r="E9" s="123">
        <v>0</v>
      </c>
      <c r="F9" s="127">
        <v>3000</v>
      </c>
      <c r="G9" s="124">
        <v>0</v>
      </c>
      <c r="H9" s="41" t="e">
        <f>(F9-E9)/E9</f>
        <v>#DIV/0!</v>
      </c>
      <c r="I9" s="27">
        <f>(G9-F9)/F9</f>
        <v>-1</v>
      </c>
    </row>
    <row r="10" spans="1:11" x14ac:dyDescent="0.3">
      <c r="A10" s="18" t="s">
        <v>531</v>
      </c>
      <c r="B10" s="18" t="s">
        <v>467</v>
      </c>
      <c r="C10" s="18"/>
      <c r="D10" s="18"/>
      <c r="E10" s="123">
        <v>0</v>
      </c>
      <c r="F10" s="127">
        <v>700</v>
      </c>
      <c r="G10" s="124">
        <v>0</v>
      </c>
      <c r="H10" s="41" t="e">
        <f t="shared" ref="H10:H13" si="0">(F10-E10)/E10</f>
        <v>#DIV/0!</v>
      </c>
      <c r="I10" s="27">
        <f t="shared" ref="I10:I13" si="1">(G10-F10)/F10</f>
        <v>-1</v>
      </c>
      <c r="K10" s="6"/>
    </row>
    <row r="11" spans="1:11" x14ac:dyDescent="0.3">
      <c r="A11" s="18" t="s">
        <v>532</v>
      </c>
      <c r="B11" s="18" t="s">
        <v>534</v>
      </c>
      <c r="C11" s="18"/>
      <c r="D11" s="18"/>
      <c r="E11" s="123">
        <v>25000</v>
      </c>
      <c r="F11" s="127">
        <v>25000</v>
      </c>
      <c r="G11" s="124">
        <v>25000</v>
      </c>
      <c r="H11" s="41">
        <f t="shared" si="0"/>
        <v>0</v>
      </c>
      <c r="I11" s="27">
        <f t="shared" si="1"/>
        <v>0</v>
      </c>
    </row>
    <row r="12" spans="1:11" x14ac:dyDescent="0.3">
      <c r="A12" s="18" t="s">
        <v>533</v>
      </c>
      <c r="B12" s="18" t="s">
        <v>535</v>
      </c>
      <c r="C12" s="18"/>
      <c r="D12" s="18"/>
      <c r="E12" s="123">
        <v>0</v>
      </c>
      <c r="F12" s="127">
        <v>0</v>
      </c>
      <c r="G12" s="124">
        <v>0</v>
      </c>
      <c r="H12" s="41" t="e">
        <f t="shared" si="0"/>
        <v>#DIV/0!</v>
      </c>
      <c r="I12" s="27" t="e">
        <f t="shared" si="1"/>
        <v>#DIV/0!</v>
      </c>
    </row>
    <row r="13" spans="1:11" x14ac:dyDescent="0.3">
      <c r="A13" s="18"/>
      <c r="B13" s="24" t="s">
        <v>7</v>
      </c>
      <c r="C13" s="24"/>
      <c r="D13" s="24"/>
      <c r="E13" s="125">
        <f>SUM(E9:E12)</f>
        <v>25000</v>
      </c>
      <c r="F13" s="128">
        <f>SUM(F9:F12)</f>
        <v>28700</v>
      </c>
      <c r="G13" s="126">
        <f>SUM(G9:G12)</f>
        <v>25000</v>
      </c>
      <c r="H13" s="42">
        <f t="shared" si="0"/>
        <v>0.14799999999999999</v>
      </c>
      <c r="I13" s="29">
        <f t="shared" si="1"/>
        <v>-0.1289198606271777</v>
      </c>
    </row>
    <row r="14" spans="1:11" x14ac:dyDescent="0.3">
      <c r="A14" s="18"/>
      <c r="B14" s="18"/>
      <c r="C14" s="18"/>
      <c r="D14" s="18"/>
      <c r="E14" s="18"/>
      <c r="F14" s="18"/>
      <c r="G14" s="18"/>
      <c r="H14" s="18"/>
      <c r="I14" s="18"/>
    </row>
    <row r="15" spans="1:11" x14ac:dyDescent="0.3">
      <c r="A15" s="26" t="s">
        <v>536</v>
      </c>
      <c r="B15" s="19"/>
      <c r="C15" s="19"/>
      <c r="D15" s="19"/>
      <c r="E15" s="22" t="s">
        <v>1</v>
      </c>
      <c r="F15" s="50" t="s">
        <v>901</v>
      </c>
      <c r="G15" s="23" t="s">
        <v>2</v>
      </c>
      <c r="H15" s="22" t="s">
        <v>3</v>
      </c>
      <c r="I15" s="23" t="s">
        <v>3</v>
      </c>
    </row>
    <row r="16" spans="1:11" x14ac:dyDescent="0.3">
      <c r="A16" s="19"/>
      <c r="B16" s="19"/>
      <c r="C16" s="19"/>
      <c r="D16" s="19"/>
      <c r="E16" s="22">
        <v>2022</v>
      </c>
      <c r="F16" s="50">
        <v>2023</v>
      </c>
      <c r="G16" s="23">
        <v>2024</v>
      </c>
      <c r="H16" s="22" t="s">
        <v>894</v>
      </c>
      <c r="I16" s="23" t="s">
        <v>902</v>
      </c>
    </row>
    <row r="17" spans="1:9" x14ac:dyDescent="0.3">
      <c r="A17" s="19" t="s">
        <v>537</v>
      </c>
      <c r="B17" s="19" t="s">
        <v>305</v>
      </c>
      <c r="C17" s="19"/>
      <c r="D17" s="19"/>
      <c r="E17" s="123">
        <v>60000</v>
      </c>
      <c r="F17" s="127">
        <v>70000</v>
      </c>
      <c r="G17" s="124">
        <v>90000</v>
      </c>
      <c r="H17" s="41">
        <f>(F17-E17)/E17</f>
        <v>0.16666666666666666</v>
      </c>
      <c r="I17" s="27">
        <f>(G17-F17)/F17</f>
        <v>0.2857142857142857</v>
      </c>
    </row>
    <row r="18" spans="1:9" x14ac:dyDescent="0.3">
      <c r="A18" s="19" t="s">
        <v>538</v>
      </c>
      <c r="B18" s="19" t="s">
        <v>321</v>
      </c>
      <c r="C18" s="19"/>
      <c r="D18" s="19"/>
      <c r="E18" s="123">
        <v>6500</v>
      </c>
      <c r="F18" s="127">
        <v>12000</v>
      </c>
      <c r="G18" s="124">
        <v>10000</v>
      </c>
      <c r="H18" s="41">
        <f t="shared" ref="H18:H38" si="2">(F18-E18)/E18</f>
        <v>0.84615384615384615</v>
      </c>
      <c r="I18" s="27">
        <f t="shared" ref="I18:I38" si="3">(G18-F18)/F18</f>
        <v>-0.16666666666666666</v>
      </c>
    </row>
    <row r="19" spans="1:9" x14ac:dyDescent="0.3">
      <c r="A19" s="19" t="s">
        <v>539</v>
      </c>
      <c r="B19" s="19" t="s">
        <v>833</v>
      </c>
      <c r="C19" s="19"/>
      <c r="D19" s="19"/>
      <c r="E19" s="123">
        <f>(E17)*0.062</f>
        <v>3720</v>
      </c>
      <c r="F19" s="127">
        <f>(F17)*0.062</f>
        <v>4340</v>
      </c>
      <c r="G19" s="135">
        <f>(G17)*0.062</f>
        <v>5580</v>
      </c>
      <c r="H19" s="41">
        <f t="shared" si="2"/>
        <v>0.16666666666666666</v>
      </c>
      <c r="I19" s="27">
        <f t="shared" si="3"/>
        <v>0.2857142857142857</v>
      </c>
    </row>
    <row r="20" spans="1:9" x14ac:dyDescent="0.3">
      <c r="A20" s="19" t="s">
        <v>540</v>
      </c>
      <c r="B20" s="19" t="s">
        <v>307</v>
      </c>
      <c r="C20" s="19"/>
      <c r="D20" s="19"/>
      <c r="E20" s="123">
        <f>(E17)*0.0145</f>
        <v>870</v>
      </c>
      <c r="F20" s="127">
        <f>(F17)*0.0145</f>
        <v>1015</v>
      </c>
      <c r="G20" s="135">
        <f>(G17)*0.0145</f>
        <v>1305</v>
      </c>
      <c r="H20" s="41">
        <f t="shared" si="2"/>
        <v>0.16666666666666666</v>
      </c>
      <c r="I20" s="27">
        <f t="shared" si="3"/>
        <v>0.2857142857142857</v>
      </c>
    </row>
    <row r="21" spans="1:9" x14ac:dyDescent="0.3">
      <c r="A21" s="19" t="s">
        <v>541</v>
      </c>
      <c r="B21" s="19" t="s">
        <v>322</v>
      </c>
      <c r="C21" s="19"/>
      <c r="D21" s="19"/>
      <c r="E21" s="123">
        <f>(E17)*0.0675</f>
        <v>4050.0000000000005</v>
      </c>
      <c r="F21" s="127">
        <f>(F17)*0.068</f>
        <v>4760</v>
      </c>
      <c r="G21" s="135">
        <f>(G17)*0.069</f>
        <v>6210.0000000000009</v>
      </c>
      <c r="H21" s="41">
        <f t="shared" si="2"/>
        <v>0.17530864197530852</v>
      </c>
      <c r="I21" s="27">
        <f t="shared" si="3"/>
        <v>0.30462184873949599</v>
      </c>
    </row>
    <row r="22" spans="1:9" x14ac:dyDescent="0.3">
      <c r="A22" s="19" t="s">
        <v>542</v>
      </c>
      <c r="B22" s="19" t="s">
        <v>418</v>
      </c>
      <c r="C22" s="19"/>
      <c r="D22" s="19"/>
      <c r="E22" s="123">
        <v>5250</v>
      </c>
      <c r="F22" s="127">
        <v>5500</v>
      </c>
      <c r="G22" s="124">
        <v>5000</v>
      </c>
      <c r="H22" s="41">
        <f t="shared" si="2"/>
        <v>4.7619047619047616E-2</v>
      </c>
      <c r="I22" s="27">
        <f t="shared" si="3"/>
        <v>-9.0909090909090912E-2</v>
      </c>
    </row>
    <row r="23" spans="1:9" x14ac:dyDescent="0.3">
      <c r="A23" s="19" t="s">
        <v>543</v>
      </c>
      <c r="B23" s="19" t="s">
        <v>467</v>
      </c>
      <c r="C23" s="19"/>
      <c r="D23" s="19"/>
      <c r="E23" s="123">
        <v>2500</v>
      </c>
      <c r="F23" s="127">
        <v>2500</v>
      </c>
      <c r="G23" s="124">
        <v>3250</v>
      </c>
      <c r="H23" s="41">
        <f t="shared" si="2"/>
        <v>0</v>
      </c>
      <c r="I23" s="27">
        <f t="shared" si="3"/>
        <v>0.3</v>
      </c>
    </row>
    <row r="24" spans="1:9" x14ac:dyDescent="0.3">
      <c r="A24" s="19" t="s">
        <v>544</v>
      </c>
      <c r="B24" s="19" t="s">
        <v>309</v>
      </c>
      <c r="C24" s="19"/>
      <c r="D24" s="19"/>
      <c r="E24" s="123">
        <v>500</v>
      </c>
      <c r="F24" s="127">
        <v>500</v>
      </c>
      <c r="G24" s="124">
        <v>400</v>
      </c>
      <c r="H24" s="41">
        <f t="shared" si="2"/>
        <v>0</v>
      </c>
      <c r="I24" s="27">
        <f t="shared" si="3"/>
        <v>-0.2</v>
      </c>
    </row>
    <row r="25" spans="1:9" x14ac:dyDescent="0.3">
      <c r="A25" s="19" t="s">
        <v>545</v>
      </c>
      <c r="B25" s="19" t="s">
        <v>551</v>
      </c>
      <c r="C25" s="19"/>
      <c r="D25" s="19"/>
      <c r="E25" s="123">
        <v>30000</v>
      </c>
      <c r="F25" s="136">
        <v>30000</v>
      </c>
      <c r="G25" s="124">
        <v>25000</v>
      </c>
      <c r="H25" s="41">
        <f t="shared" si="2"/>
        <v>0</v>
      </c>
      <c r="I25" s="27">
        <f t="shared" si="3"/>
        <v>-0.16666666666666666</v>
      </c>
    </row>
    <row r="26" spans="1:9" x14ac:dyDescent="0.3">
      <c r="A26" s="19" t="s">
        <v>546</v>
      </c>
      <c r="B26" s="19" t="s">
        <v>552</v>
      </c>
      <c r="C26" s="19"/>
      <c r="D26" s="19"/>
      <c r="E26" s="123">
        <v>0</v>
      </c>
      <c r="F26" s="127">
        <v>2000</v>
      </c>
      <c r="G26" s="124">
        <v>0</v>
      </c>
      <c r="H26" s="41" t="e">
        <f t="shared" si="2"/>
        <v>#DIV/0!</v>
      </c>
      <c r="I26" s="27">
        <f t="shared" si="3"/>
        <v>-1</v>
      </c>
    </row>
    <row r="27" spans="1:9" x14ac:dyDescent="0.3">
      <c r="A27" s="19" t="s">
        <v>547</v>
      </c>
      <c r="B27" s="19" t="s">
        <v>368</v>
      </c>
      <c r="C27" s="19"/>
      <c r="D27" s="19"/>
      <c r="E27" s="123">
        <v>5000</v>
      </c>
      <c r="F27" s="127">
        <v>7500</v>
      </c>
      <c r="G27" s="124">
        <v>7000</v>
      </c>
      <c r="H27" s="41">
        <f t="shared" si="2"/>
        <v>0.5</v>
      </c>
      <c r="I27" s="27">
        <f t="shared" si="3"/>
        <v>-6.6666666666666666E-2</v>
      </c>
    </row>
    <row r="28" spans="1:9" x14ac:dyDescent="0.3">
      <c r="A28" s="19" t="s">
        <v>842</v>
      </c>
      <c r="B28" s="19" t="s">
        <v>843</v>
      </c>
      <c r="C28" s="19"/>
      <c r="D28" s="19"/>
      <c r="E28" s="123">
        <v>0</v>
      </c>
      <c r="F28" s="127"/>
      <c r="G28" s="124">
        <v>0</v>
      </c>
      <c r="H28" s="41" t="e">
        <f t="shared" si="2"/>
        <v>#DIV/0!</v>
      </c>
      <c r="I28" s="27" t="e">
        <f t="shared" si="3"/>
        <v>#DIV/0!</v>
      </c>
    </row>
    <row r="29" spans="1:9" x14ac:dyDescent="0.3">
      <c r="A29" s="19" t="s">
        <v>820</v>
      </c>
      <c r="B29" s="19" t="s">
        <v>821</v>
      </c>
      <c r="C29" s="19"/>
      <c r="D29" s="19"/>
      <c r="E29" s="123">
        <v>7500</v>
      </c>
      <c r="F29" s="127">
        <v>7500</v>
      </c>
      <c r="G29" s="124">
        <v>7500</v>
      </c>
      <c r="H29" s="41">
        <f t="shared" si="2"/>
        <v>0</v>
      </c>
      <c r="I29" s="27">
        <f t="shared" si="3"/>
        <v>0</v>
      </c>
    </row>
    <row r="30" spans="1:9" x14ac:dyDescent="0.3">
      <c r="A30" s="19" t="s">
        <v>822</v>
      </c>
      <c r="B30" s="19" t="s">
        <v>823</v>
      </c>
      <c r="C30" s="19"/>
      <c r="D30" s="19"/>
      <c r="E30" s="123">
        <v>500</v>
      </c>
      <c r="F30" s="127">
        <v>1000</v>
      </c>
      <c r="G30" s="124">
        <v>600</v>
      </c>
      <c r="H30" s="41">
        <f t="shared" si="2"/>
        <v>1</v>
      </c>
      <c r="I30" s="27">
        <f t="shared" si="3"/>
        <v>-0.4</v>
      </c>
    </row>
    <row r="31" spans="1:9" x14ac:dyDescent="0.3">
      <c r="A31" s="19" t="s">
        <v>827</v>
      </c>
      <c r="B31" s="19" t="s">
        <v>824</v>
      </c>
      <c r="C31" s="19"/>
      <c r="D31" s="19"/>
      <c r="E31" s="123">
        <f>(E29)*0.062</f>
        <v>465</v>
      </c>
      <c r="F31" s="127">
        <f>(F29)*0.062</f>
        <v>465</v>
      </c>
      <c r="G31" s="135">
        <f>(G29)*0.062</f>
        <v>465</v>
      </c>
      <c r="H31" s="41">
        <f t="shared" si="2"/>
        <v>0</v>
      </c>
      <c r="I31" s="27">
        <f t="shared" si="3"/>
        <v>0</v>
      </c>
    </row>
    <row r="32" spans="1:9" x14ac:dyDescent="0.3">
      <c r="A32" s="19" t="s">
        <v>828</v>
      </c>
      <c r="B32" s="19" t="s">
        <v>825</v>
      </c>
      <c r="C32" s="19"/>
      <c r="D32" s="19"/>
      <c r="E32" s="123">
        <f>(E29)*0.0145</f>
        <v>108.75</v>
      </c>
      <c r="F32" s="127">
        <f>(F29)*0.0145</f>
        <v>108.75</v>
      </c>
      <c r="G32" s="135">
        <f>(G29)*0.0145</f>
        <v>108.75</v>
      </c>
      <c r="H32" s="41">
        <f t="shared" si="2"/>
        <v>0</v>
      </c>
      <c r="I32" s="27">
        <f t="shared" si="3"/>
        <v>0</v>
      </c>
    </row>
    <row r="33" spans="1:12" x14ac:dyDescent="0.3">
      <c r="A33" s="19" t="s">
        <v>829</v>
      </c>
      <c r="B33" s="19" t="s">
        <v>826</v>
      </c>
      <c r="C33" s="19"/>
      <c r="D33" s="19"/>
      <c r="E33" s="123">
        <f>(E29)*0.0675</f>
        <v>506.25000000000006</v>
      </c>
      <c r="F33" s="127">
        <f>(F29)*0.068</f>
        <v>510.00000000000006</v>
      </c>
      <c r="G33" s="135">
        <f>(G29)*0.069</f>
        <v>517.5</v>
      </c>
      <c r="H33" s="41">
        <f t="shared" si="2"/>
        <v>7.4074074074074068E-3</v>
      </c>
      <c r="I33" s="27">
        <f t="shared" si="3"/>
        <v>1.4705882352941064E-2</v>
      </c>
    </row>
    <row r="34" spans="1:12" x14ac:dyDescent="0.3">
      <c r="A34" s="19" t="s">
        <v>548</v>
      </c>
      <c r="B34" s="19" t="s">
        <v>553</v>
      </c>
      <c r="C34" s="19"/>
      <c r="D34" s="19"/>
      <c r="E34" s="123">
        <v>500</v>
      </c>
      <c r="F34" s="127">
        <v>500</v>
      </c>
      <c r="G34" s="124">
        <v>100</v>
      </c>
      <c r="H34" s="41">
        <f t="shared" si="2"/>
        <v>0</v>
      </c>
      <c r="I34" s="27">
        <f t="shared" si="3"/>
        <v>-0.8</v>
      </c>
    </row>
    <row r="35" spans="1:12" x14ac:dyDescent="0.3">
      <c r="A35" s="19" t="s">
        <v>549</v>
      </c>
      <c r="B35" s="19" t="s">
        <v>554</v>
      </c>
      <c r="C35" s="19"/>
      <c r="D35" s="19"/>
      <c r="E35" s="123">
        <v>100</v>
      </c>
      <c r="F35" s="127">
        <v>100</v>
      </c>
      <c r="G35" s="124">
        <v>0</v>
      </c>
      <c r="H35" s="41">
        <f t="shared" si="2"/>
        <v>0</v>
      </c>
      <c r="I35" s="27">
        <f t="shared" si="3"/>
        <v>-1</v>
      </c>
      <c r="J35" s="14"/>
      <c r="K35" s="5"/>
      <c r="L35" s="6"/>
    </row>
    <row r="36" spans="1:12" x14ac:dyDescent="0.3">
      <c r="A36" s="19" t="s">
        <v>550</v>
      </c>
      <c r="B36" s="19" t="s">
        <v>555</v>
      </c>
      <c r="C36" s="19"/>
      <c r="D36" s="19"/>
      <c r="E36" s="123">
        <v>12500</v>
      </c>
      <c r="F36" s="127">
        <v>10000</v>
      </c>
      <c r="G36" s="124">
        <v>7500</v>
      </c>
      <c r="H36" s="41">
        <f t="shared" si="2"/>
        <v>-0.2</v>
      </c>
      <c r="I36" s="27">
        <f t="shared" si="3"/>
        <v>-0.25</v>
      </c>
    </row>
    <row r="37" spans="1:12" x14ac:dyDescent="0.3">
      <c r="A37" s="19" t="s">
        <v>840</v>
      </c>
      <c r="B37" s="19" t="s">
        <v>841</v>
      </c>
      <c r="C37" s="19"/>
      <c r="D37" s="19"/>
      <c r="E37" s="123">
        <v>3500</v>
      </c>
      <c r="F37" s="127">
        <v>5000</v>
      </c>
      <c r="G37" s="124">
        <v>6500</v>
      </c>
      <c r="H37" s="41">
        <f t="shared" si="2"/>
        <v>0.42857142857142855</v>
      </c>
      <c r="I37" s="27">
        <f t="shared" si="3"/>
        <v>0.3</v>
      </c>
    </row>
    <row r="38" spans="1:12" x14ac:dyDescent="0.3">
      <c r="A38" s="19"/>
      <c r="B38" s="26" t="s">
        <v>7</v>
      </c>
      <c r="C38" s="26"/>
      <c r="D38" s="26"/>
      <c r="E38" s="125">
        <f>SUM(E17:E37)</f>
        <v>144070</v>
      </c>
      <c r="F38" s="128">
        <f>SUM(F17:F37)</f>
        <v>165298.75</v>
      </c>
      <c r="G38" s="126">
        <f>SUM(G17:G37)</f>
        <v>177036.25</v>
      </c>
      <c r="H38" s="42">
        <f t="shared" si="2"/>
        <v>0.1473502464079961</v>
      </c>
      <c r="I38" s="29">
        <f t="shared" si="3"/>
        <v>7.1007796489689121E-2</v>
      </c>
    </row>
    <row r="40" spans="1:12" x14ac:dyDescent="0.3">
      <c r="A40" s="13"/>
    </row>
    <row r="41" spans="1:12" x14ac:dyDescent="0.3">
      <c r="A41" s="13"/>
    </row>
    <row r="42" spans="1:12" x14ac:dyDescent="0.3">
      <c r="A42" s="13"/>
    </row>
    <row r="44" spans="1:12" x14ac:dyDescent="0.3">
      <c r="E44" s="6" t="s">
        <v>879</v>
      </c>
    </row>
    <row r="46" spans="1:12" x14ac:dyDescent="0.3">
      <c r="D46" s="6"/>
    </row>
    <row r="48" spans="1:12" x14ac:dyDescent="0.3">
      <c r="A48" s="24" t="s">
        <v>862</v>
      </c>
      <c r="B48" s="18"/>
      <c r="C48" s="18"/>
      <c r="D48" s="18"/>
      <c r="E48" s="22" t="s">
        <v>1</v>
      </c>
      <c r="F48" s="50" t="s">
        <v>901</v>
      </c>
      <c r="G48" s="23" t="s">
        <v>2</v>
      </c>
      <c r="H48" s="22" t="s">
        <v>3</v>
      </c>
      <c r="I48" s="23" t="s">
        <v>3</v>
      </c>
    </row>
    <row r="49" spans="1:9" x14ac:dyDescent="0.3">
      <c r="A49" s="18"/>
      <c r="B49" s="18"/>
      <c r="C49" s="18"/>
      <c r="D49" s="18"/>
      <c r="E49" s="22">
        <v>2022</v>
      </c>
      <c r="F49" s="50">
        <v>2023</v>
      </c>
      <c r="G49" s="23">
        <v>2024</v>
      </c>
      <c r="H49" s="22" t="s">
        <v>894</v>
      </c>
      <c r="I49" s="23" t="s">
        <v>902</v>
      </c>
    </row>
    <row r="50" spans="1:9" x14ac:dyDescent="0.3">
      <c r="A50" s="30" t="s">
        <v>556</v>
      </c>
      <c r="B50" s="18" t="s">
        <v>565</v>
      </c>
      <c r="C50" s="18"/>
      <c r="D50" s="18"/>
      <c r="E50" s="123">
        <v>0</v>
      </c>
      <c r="F50" s="123">
        <v>0</v>
      </c>
      <c r="G50" s="124">
        <v>0</v>
      </c>
      <c r="H50" s="41" t="e">
        <f>(F50-E50)/E50</f>
        <v>#DIV/0!</v>
      </c>
      <c r="I50" s="27" t="e">
        <f>(G50-F50)/F50</f>
        <v>#DIV/0!</v>
      </c>
    </row>
    <row r="51" spans="1:9" x14ac:dyDescent="0.3">
      <c r="A51" s="18" t="s">
        <v>557</v>
      </c>
      <c r="B51" s="18" t="s">
        <v>566</v>
      </c>
      <c r="C51" s="18"/>
      <c r="D51" s="18"/>
      <c r="E51" s="123">
        <v>0</v>
      </c>
      <c r="F51" s="123">
        <v>0</v>
      </c>
      <c r="G51" s="124">
        <v>0</v>
      </c>
      <c r="H51" s="41" t="e">
        <f t="shared" ref="H51:H59" si="4">(F51-E51)/E51</f>
        <v>#DIV/0!</v>
      </c>
      <c r="I51" s="27" t="e">
        <f t="shared" ref="I51:I59" si="5">(G51-F51)/F51</f>
        <v>#DIV/0!</v>
      </c>
    </row>
    <row r="52" spans="1:9" x14ac:dyDescent="0.3">
      <c r="A52" s="18" t="s">
        <v>558</v>
      </c>
      <c r="B52" s="18" t="s">
        <v>567</v>
      </c>
      <c r="C52" s="18"/>
      <c r="D52" s="18"/>
      <c r="E52" s="123">
        <v>250</v>
      </c>
      <c r="F52" s="123">
        <v>100</v>
      </c>
      <c r="G52" s="124">
        <v>0</v>
      </c>
      <c r="H52" s="41">
        <f t="shared" si="4"/>
        <v>-0.6</v>
      </c>
      <c r="I52" s="27">
        <f t="shared" si="5"/>
        <v>-1</v>
      </c>
    </row>
    <row r="53" spans="1:9" x14ac:dyDescent="0.3">
      <c r="A53" s="18" t="s">
        <v>559</v>
      </c>
      <c r="B53" s="18" t="s">
        <v>568</v>
      </c>
      <c r="C53" s="18"/>
      <c r="D53" s="18"/>
      <c r="E53" s="123">
        <v>400</v>
      </c>
      <c r="F53" s="123">
        <v>400</v>
      </c>
      <c r="G53" s="124">
        <v>5000</v>
      </c>
      <c r="H53" s="41">
        <f t="shared" si="4"/>
        <v>0</v>
      </c>
      <c r="I53" s="27">
        <f t="shared" si="5"/>
        <v>11.5</v>
      </c>
    </row>
    <row r="54" spans="1:9" x14ac:dyDescent="0.3">
      <c r="A54" s="18" t="s">
        <v>560</v>
      </c>
      <c r="B54" s="18" t="s">
        <v>569</v>
      </c>
      <c r="C54" s="18"/>
      <c r="D54" s="18"/>
      <c r="E54" s="123">
        <v>750</v>
      </c>
      <c r="F54" s="123">
        <v>500</v>
      </c>
      <c r="G54" s="124">
        <v>0</v>
      </c>
      <c r="H54" s="41">
        <f t="shared" si="4"/>
        <v>-0.33333333333333331</v>
      </c>
      <c r="I54" s="27">
        <f t="shared" si="5"/>
        <v>-1</v>
      </c>
    </row>
    <row r="55" spans="1:9" x14ac:dyDescent="0.3">
      <c r="A55" s="18" t="s">
        <v>561</v>
      </c>
      <c r="B55" s="18" t="s">
        <v>570</v>
      </c>
      <c r="C55" s="18"/>
      <c r="D55" s="18"/>
      <c r="E55" s="123">
        <v>0</v>
      </c>
      <c r="F55" s="123">
        <v>0</v>
      </c>
      <c r="G55" s="124">
        <v>0</v>
      </c>
      <c r="H55" s="41" t="e">
        <f t="shared" si="4"/>
        <v>#DIV/0!</v>
      </c>
      <c r="I55" s="27" t="e">
        <f t="shared" si="5"/>
        <v>#DIV/0!</v>
      </c>
    </row>
    <row r="56" spans="1:9" x14ac:dyDescent="0.3">
      <c r="A56" s="18" t="s">
        <v>562</v>
      </c>
      <c r="B56" s="18" t="s">
        <v>571</v>
      </c>
      <c r="C56" s="18"/>
      <c r="D56" s="18"/>
      <c r="E56" s="123">
        <v>5000</v>
      </c>
      <c r="F56" s="123">
        <v>5000</v>
      </c>
      <c r="G56" s="124">
        <v>2500</v>
      </c>
      <c r="H56" s="41">
        <f t="shared" si="4"/>
        <v>0</v>
      </c>
      <c r="I56" s="27">
        <f t="shared" si="5"/>
        <v>-0.5</v>
      </c>
    </row>
    <row r="57" spans="1:9" x14ac:dyDescent="0.3">
      <c r="A57" s="30" t="s">
        <v>563</v>
      </c>
      <c r="B57" s="18" t="s">
        <v>572</v>
      </c>
      <c r="C57" s="18"/>
      <c r="D57" s="18"/>
      <c r="E57" s="123">
        <v>0</v>
      </c>
      <c r="F57" s="123">
        <v>0</v>
      </c>
      <c r="G57" s="124">
        <v>0</v>
      </c>
      <c r="H57" s="41" t="e">
        <f t="shared" si="4"/>
        <v>#DIV/0!</v>
      </c>
      <c r="I57" s="27" t="e">
        <f t="shared" si="5"/>
        <v>#DIV/0!</v>
      </c>
    </row>
    <row r="58" spans="1:9" x14ac:dyDescent="0.3">
      <c r="A58" s="30" t="s">
        <v>564</v>
      </c>
      <c r="B58" s="18" t="s">
        <v>573</v>
      </c>
      <c r="C58" s="18"/>
      <c r="D58" s="18"/>
      <c r="E58" s="123">
        <v>5000</v>
      </c>
      <c r="F58" s="123">
        <v>5000</v>
      </c>
      <c r="G58" s="124">
        <v>6500</v>
      </c>
      <c r="H58" s="41">
        <f t="shared" si="4"/>
        <v>0</v>
      </c>
      <c r="I58" s="27">
        <f t="shared" si="5"/>
        <v>0.3</v>
      </c>
    </row>
    <row r="59" spans="1:9" x14ac:dyDescent="0.3">
      <c r="A59" s="18"/>
      <c r="B59" s="24" t="s">
        <v>7</v>
      </c>
      <c r="C59" s="24"/>
      <c r="D59" s="24"/>
      <c r="E59" s="125">
        <f>SUM(E50:E58)</f>
        <v>11400</v>
      </c>
      <c r="F59" s="125">
        <f>SUM(F50:F58)</f>
        <v>11000</v>
      </c>
      <c r="G59" s="126">
        <f>SUM(G50:G58)</f>
        <v>14000</v>
      </c>
      <c r="H59" s="42">
        <f t="shared" si="4"/>
        <v>-3.5087719298245612E-2</v>
      </c>
      <c r="I59" s="29">
        <f t="shared" si="5"/>
        <v>0.27272727272727271</v>
      </c>
    </row>
    <row r="60" spans="1:9" x14ac:dyDescent="0.3">
      <c r="E60" s="13"/>
    </row>
    <row r="61" spans="1:9" x14ac:dyDescent="0.3">
      <c r="E61" s="13"/>
    </row>
    <row r="62" spans="1:9" x14ac:dyDescent="0.3">
      <c r="A62" s="24" t="s">
        <v>574</v>
      </c>
      <c r="B62" s="18"/>
      <c r="C62" s="18"/>
      <c r="D62" s="18"/>
      <c r="E62" s="22" t="s">
        <v>1</v>
      </c>
      <c r="F62" s="50" t="s">
        <v>901</v>
      </c>
      <c r="G62" s="23" t="s">
        <v>2</v>
      </c>
      <c r="H62" s="22" t="s">
        <v>3</v>
      </c>
      <c r="I62" s="23" t="s">
        <v>3</v>
      </c>
    </row>
    <row r="63" spans="1:9" x14ac:dyDescent="0.3">
      <c r="A63" s="18"/>
      <c r="B63" s="18"/>
      <c r="C63" s="18"/>
      <c r="D63" s="18"/>
      <c r="E63" s="22">
        <v>2022</v>
      </c>
      <c r="F63" s="50">
        <v>2023</v>
      </c>
      <c r="G63" s="23">
        <v>2024</v>
      </c>
      <c r="H63" s="22" t="s">
        <v>894</v>
      </c>
      <c r="I63" s="23" t="s">
        <v>902</v>
      </c>
    </row>
    <row r="64" spans="1:9" x14ac:dyDescent="0.3">
      <c r="A64" s="24" t="s">
        <v>7</v>
      </c>
      <c r="B64" s="24"/>
      <c r="C64" s="24"/>
      <c r="D64" s="24"/>
      <c r="E64" s="125">
        <f>(E13+E38+E59)</f>
        <v>180470</v>
      </c>
      <c r="F64" s="125">
        <f>(F13+F38+F59)</f>
        <v>204998.75</v>
      </c>
      <c r="G64" s="126">
        <f>(G13+G38+G59)</f>
        <v>216036.25</v>
      </c>
      <c r="H64" s="42">
        <f>(F64-E64)/E64</f>
        <v>0.13591594170776305</v>
      </c>
      <c r="I64" s="29">
        <f>(G64-F64)/F64</f>
        <v>5.3841791718242181E-2</v>
      </c>
    </row>
    <row r="88" spans="4:5" x14ac:dyDescent="0.3">
      <c r="E88" s="6" t="s">
        <v>880</v>
      </c>
    </row>
    <row r="93" spans="4:5" x14ac:dyDescent="0.3">
      <c r="D93" s="6"/>
    </row>
  </sheetData>
  <printOptions gridLines="1"/>
  <pageMargins left="1" right="1" top="1" bottom="1" header="0.5" footer="0.5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6"/>
  <sheetViews>
    <sheetView view="pageLayout" zoomScaleNormal="100" workbookViewId="0">
      <selection activeCell="H6" sqref="H6:H11"/>
    </sheetView>
  </sheetViews>
  <sheetFormatPr defaultRowHeight="14.4" x14ac:dyDescent="0.3"/>
  <cols>
    <col min="4" max="8" width="9.44140625" customWidth="1"/>
  </cols>
  <sheetData>
    <row r="1" spans="1:9" x14ac:dyDescent="0.3">
      <c r="A1" s="6"/>
    </row>
    <row r="6" spans="1:9" x14ac:dyDescent="0.3">
      <c r="A6" s="24" t="s">
        <v>575</v>
      </c>
      <c r="B6" s="18"/>
      <c r="C6" s="18"/>
      <c r="D6" s="22" t="s">
        <v>1</v>
      </c>
      <c r="E6" s="22" t="s">
        <v>901</v>
      </c>
      <c r="F6" s="23" t="s">
        <v>2</v>
      </c>
      <c r="G6" s="22" t="s">
        <v>3</v>
      </c>
      <c r="H6" s="23" t="s">
        <v>3</v>
      </c>
    </row>
    <row r="7" spans="1:9" x14ac:dyDescent="0.3">
      <c r="A7" s="18"/>
      <c r="B7" s="18"/>
      <c r="C7" s="18"/>
      <c r="D7" s="22">
        <v>2022</v>
      </c>
      <c r="E7" s="22">
        <v>2023</v>
      </c>
      <c r="F7" s="23">
        <v>2024</v>
      </c>
      <c r="G7" s="22" t="s">
        <v>894</v>
      </c>
      <c r="H7" s="23" t="s">
        <v>902</v>
      </c>
    </row>
    <row r="8" spans="1:9" x14ac:dyDescent="0.3">
      <c r="A8" s="18" t="s">
        <v>576</v>
      </c>
      <c r="B8" s="18" t="s">
        <v>579</v>
      </c>
      <c r="C8" s="18"/>
      <c r="D8" s="18">
        <v>0</v>
      </c>
      <c r="E8" s="18">
        <v>0</v>
      </c>
      <c r="F8" s="35">
        <v>0</v>
      </c>
      <c r="G8" s="41" t="e">
        <f>(E8-D8)/D8</f>
        <v>#DIV/0!</v>
      </c>
      <c r="H8" s="27" t="e">
        <f>(F8-E8)/E8</f>
        <v>#DIV/0!</v>
      </c>
    </row>
    <row r="9" spans="1:9" x14ac:dyDescent="0.3">
      <c r="A9" s="18" t="s">
        <v>577</v>
      </c>
      <c r="B9" s="18" t="s">
        <v>580</v>
      </c>
      <c r="C9" s="18"/>
      <c r="D9" s="18">
        <v>0</v>
      </c>
      <c r="E9" s="18">
        <v>0</v>
      </c>
      <c r="F9" s="35">
        <v>0</v>
      </c>
      <c r="G9" s="41" t="e">
        <f>(E9-D9)/D9</f>
        <v>#DIV/0!</v>
      </c>
      <c r="H9" s="27" t="e">
        <f t="shared" ref="H9:H11" si="0">(F9-E9)/E9</f>
        <v>#DIV/0!</v>
      </c>
    </row>
    <row r="10" spans="1:9" x14ac:dyDescent="0.3">
      <c r="A10" s="18" t="s">
        <v>578</v>
      </c>
      <c r="B10" s="18" t="s">
        <v>581</v>
      </c>
      <c r="C10" s="18"/>
      <c r="D10" s="18">
        <v>0</v>
      </c>
      <c r="E10" s="18">
        <v>0</v>
      </c>
      <c r="F10" s="35">
        <v>0</v>
      </c>
      <c r="G10" s="41" t="e">
        <f>(E10-D10)/D10</f>
        <v>#DIV/0!</v>
      </c>
      <c r="H10" s="27" t="e">
        <f t="shared" si="0"/>
        <v>#DIV/0!</v>
      </c>
    </row>
    <row r="11" spans="1:9" x14ac:dyDescent="0.3">
      <c r="A11" s="18"/>
      <c r="B11" s="24" t="s">
        <v>7</v>
      </c>
      <c r="C11" s="24"/>
      <c r="D11" s="24">
        <f>SUM(D8:D10)</f>
        <v>0</v>
      </c>
      <c r="E11" s="24">
        <v>0</v>
      </c>
      <c r="F11" s="72">
        <v>0</v>
      </c>
      <c r="G11" s="41" t="e">
        <f>(E11-D11)/D11</f>
        <v>#DIV/0!</v>
      </c>
      <c r="H11" s="27" t="e">
        <f t="shared" si="0"/>
        <v>#DIV/0!</v>
      </c>
    </row>
    <row r="12" spans="1:9" x14ac:dyDescent="0.3">
      <c r="D12" s="12"/>
      <c r="E12" s="12"/>
      <c r="F12" s="12"/>
      <c r="G12" s="4"/>
      <c r="H12" s="15"/>
      <c r="I12" s="14"/>
    </row>
    <row r="44" spans="3:4" x14ac:dyDescent="0.3">
      <c r="D44" s="6" t="s">
        <v>881</v>
      </c>
    </row>
    <row r="46" spans="3:4" x14ac:dyDescent="0.3">
      <c r="C46" s="6"/>
    </row>
  </sheetData>
  <printOptions gridLines="1"/>
  <pageMargins left="1" right="1" top="1" bottom="1" header="0.5" footer="0.5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6"/>
  <sheetViews>
    <sheetView view="pageLayout" zoomScaleNormal="100" workbookViewId="0">
      <selection activeCell="F15" sqref="F15"/>
    </sheetView>
  </sheetViews>
  <sheetFormatPr defaultRowHeight="14.4" x14ac:dyDescent="0.3"/>
  <cols>
    <col min="4" max="4" width="9.5546875" customWidth="1"/>
    <col min="5" max="7" width="9.44140625" customWidth="1"/>
    <col min="8" max="8" width="9.5546875" customWidth="1"/>
  </cols>
  <sheetData>
    <row r="1" spans="1:8" x14ac:dyDescent="0.3">
      <c r="A1" s="6"/>
    </row>
    <row r="2" spans="1:8" x14ac:dyDescent="0.3">
      <c r="A2" s="6"/>
    </row>
    <row r="5" spans="1:8" x14ac:dyDescent="0.3">
      <c r="A5" s="24" t="s">
        <v>583</v>
      </c>
      <c r="B5" s="18"/>
      <c r="C5" s="18"/>
      <c r="D5" s="22" t="s">
        <v>1</v>
      </c>
      <c r="E5" s="22" t="s">
        <v>901</v>
      </c>
      <c r="F5" s="23" t="s">
        <v>2</v>
      </c>
      <c r="G5" s="22" t="s">
        <v>3</v>
      </c>
      <c r="H5" s="23" t="s">
        <v>3</v>
      </c>
    </row>
    <row r="6" spans="1:8" x14ac:dyDescent="0.3">
      <c r="A6" s="18"/>
      <c r="B6" s="18"/>
      <c r="C6" s="18"/>
      <c r="D6" s="22">
        <v>2022</v>
      </c>
      <c r="E6" s="22">
        <v>2023</v>
      </c>
      <c r="F6" s="23">
        <v>2024</v>
      </c>
      <c r="G6" s="22" t="s">
        <v>894</v>
      </c>
      <c r="H6" s="23" t="s">
        <v>902</v>
      </c>
    </row>
    <row r="7" spans="1:8" x14ac:dyDescent="0.3">
      <c r="A7" s="18" t="s">
        <v>584</v>
      </c>
      <c r="B7" s="18" t="s">
        <v>590</v>
      </c>
      <c r="C7" s="18"/>
      <c r="D7" s="123">
        <v>531434</v>
      </c>
      <c r="E7" s="123">
        <v>590945</v>
      </c>
      <c r="F7" s="124">
        <v>630000</v>
      </c>
      <c r="G7" s="41">
        <f>(E7-D7)/D7</f>
        <v>0.11198192061478941</v>
      </c>
      <c r="H7" s="27">
        <f>(F7-E7)/E7</f>
        <v>6.6089060741693392E-2</v>
      </c>
    </row>
    <row r="8" spans="1:8" x14ac:dyDescent="0.3">
      <c r="A8" s="18" t="s">
        <v>585</v>
      </c>
      <c r="B8" s="18" t="s">
        <v>591</v>
      </c>
      <c r="C8" s="18"/>
      <c r="D8" s="123">
        <v>0</v>
      </c>
      <c r="E8" s="123">
        <v>0</v>
      </c>
      <c r="F8" s="124">
        <v>0</v>
      </c>
      <c r="G8" s="41" t="e">
        <f t="shared" ref="G8:G14" si="0">(E8-D8)/D8</f>
        <v>#DIV/0!</v>
      </c>
      <c r="H8" s="27" t="e">
        <f t="shared" ref="H8:H14" si="1">(F8-E8)/E8</f>
        <v>#DIV/0!</v>
      </c>
    </row>
    <row r="9" spans="1:8" x14ac:dyDescent="0.3">
      <c r="A9" s="18" t="s">
        <v>586</v>
      </c>
      <c r="B9" s="18" t="s">
        <v>592</v>
      </c>
      <c r="C9" s="18"/>
      <c r="D9" s="123">
        <v>0</v>
      </c>
      <c r="E9" s="123">
        <v>0</v>
      </c>
      <c r="F9" s="124">
        <v>0</v>
      </c>
      <c r="G9" s="41" t="e">
        <f t="shared" si="0"/>
        <v>#DIV/0!</v>
      </c>
      <c r="H9" s="27" t="e">
        <f t="shared" si="1"/>
        <v>#DIV/0!</v>
      </c>
    </row>
    <row r="10" spans="1:8" x14ac:dyDescent="0.3">
      <c r="A10" s="18" t="s">
        <v>587</v>
      </c>
      <c r="B10" s="18" t="s">
        <v>593</v>
      </c>
      <c r="C10" s="18"/>
      <c r="D10" s="123">
        <v>0</v>
      </c>
      <c r="E10" s="123">
        <v>0</v>
      </c>
      <c r="F10" s="124">
        <v>0</v>
      </c>
      <c r="G10" s="41" t="e">
        <f t="shared" si="0"/>
        <v>#DIV/0!</v>
      </c>
      <c r="H10" s="27" t="e">
        <f t="shared" si="1"/>
        <v>#DIV/0!</v>
      </c>
    </row>
    <row r="11" spans="1:8" x14ac:dyDescent="0.3">
      <c r="A11" s="18" t="s">
        <v>588</v>
      </c>
      <c r="B11" s="18" t="s">
        <v>594</v>
      </c>
      <c r="C11" s="18"/>
      <c r="D11" s="123">
        <v>0</v>
      </c>
      <c r="E11" s="123">
        <v>12000</v>
      </c>
      <c r="F11" s="124">
        <v>0</v>
      </c>
      <c r="G11" s="41" t="e">
        <f t="shared" si="0"/>
        <v>#DIV/0!</v>
      </c>
      <c r="H11" s="27">
        <f t="shared" si="1"/>
        <v>-1</v>
      </c>
    </row>
    <row r="12" spans="1:8" x14ac:dyDescent="0.3">
      <c r="A12" s="18" t="s">
        <v>589</v>
      </c>
      <c r="B12" s="18" t="s">
        <v>595</v>
      </c>
      <c r="C12" s="18"/>
      <c r="D12" s="123">
        <v>0</v>
      </c>
      <c r="E12" s="123">
        <v>0</v>
      </c>
      <c r="F12" s="124">
        <v>0</v>
      </c>
      <c r="G12" s="41" t="e">
        <f t="shared" si="0"/>
        <v>#DIV/0!</v>
      </c>
      <c r="H12" s="27" t="e">
        <f t="shared" si="1"/>
        <v>#DIV/0!</v>
      </c>
    </row>
    <row r="13" spans="1:8" x14ac:dyDescent="0.3">
      <c r="A13" s="18"/>
      <c r="B13" s="18" t="s">
        <v>831</v>
      </c>
      <c r="C13" s="18"/>
      <c r="D13" s="123">
        <v>0</v>
      </c>
      <c r="E13" s="123">
        <v>0</v>
      </c>
      <c r="F13" s="124">
        <v>0</v>
      </c>
      <c r="G13" s="41" t="e">
        <f t="shared" si="0"/>
        <v>#DIV/0!</v>
      </c>
      <c r="H13" s="27" t="e">
        <f t="shared" si="1"/>
        <v>#DIV/0!</v>
      </c>
    </row>
    <row r="14" spans="1:8" x14ac:dyDescent="0.3">
      <c r="A14" s="18"/>
      <c r="B14" s="24" t="s">
        <v>7</v>
      </c>
      <c r="C14" s="24"/>
      <c r="D14" s="125">
        <f>(D7)</f>
        <v>531434</v>
      </c>
      <c r="E14" s="125">
        <f>SUM(E7:E13)</f>
        <v>602945</v>
      </c>
      <c r="F14" s="126">
        <f>SUM(F7:F13)</f>
        <v>630000</v>
      </c>
      <c r="G14" s="42">
        <f t="shared" si="0"/>
        <v>0.1345623351159316</v>
      </c>
      <c r="H14" s="29">
        <f t="shared" si="1"/>
        <v>4.4871422766587336E-2</v>
      </c>
    </row>
    <row r="17" spans="1:8" x14ac:dyDescent="0.3">
      <c r="A17" s="24" t="s">
        <v>596</v>
      </c>
      <c r="B17" s="18"/>
      <c r="C17" s="18"/>
      <c r="D17" s="22" t="s">
        <v>1</v>
      </c>
      <c r="E17" s="22" t="s">
        <v>901</v>
      </c>
      <c r="F17" s="23" t="s">
        <v>2</v>
      </c>
      <c r="G17" s="22" t="s">
        <v>3</v>
      </c>
      <c r="H17" s="23" t="s">
        <v>3</v>
      </c>
    </row>
    <row r="18" spans="1:8" x14ac:dyDescent="0.3">
      <c r="A18" s="18"/>
      <c r="B18" s="18"/>
      <c r="C18" s="18"/>
      <c r="D18" s="22">
        <v>2022</v>
      </c>
      <c r="E18" s="22">
        <v>2023</v>
      </c>
      <c r="F18" s="23">
        <v>2024</v>
      </c>
      <c r="G18" s="22" t="s">
        <v>894</v>
      </c>
      <c r="H18" s="23" t="s">
        <v>902</v>
      </c>
    </row>
    <row r="19" spans="1:8" x14ac:dyDescent="0.3">
      <c r="A19" s="18" t="s">
        <v>7</v>
      </c>
      <c r="B19" s="18"/>
      <c r="C19" s="18"/>
      <c r="D19" s="125">
        <f>(D14)</f>
        <v>531434</v>
      </c>
      <c r="E19" s="125">
        <f>(E14)</f>
        <v>602945</v>
      </c>
      <c r="F19" s="126">
        <f>(F14)</f>
        <v>630000</v>
      </c>
      <c r="G19" s="42">
        <f>(E19-D19)/D19</f>
        <v>0.1345623351159316</v>
      </c>
      <c r="H19" s="29">
        <f>(F19-E19)/E19</f>
        <v>4.4871422766587336E-2</v>
      </c>
    </row>
    <row r="44" spans="3:4" x14ac:dyDescent="0.3">
      <c r="D44" s="6" t="s">
        <v>882</v>
      </c>
    </row>
    <row r="46" spans="3:4" x14ac:dyDescent="0.3">
      <c r="C46" s="6"/>
    </row>
  </sheetData>
  <printOptions gridLines="1"/>
  <pageMargins left="1" right="1" top="1" bottom="1" header="0.5" footer="0.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g U V l T x r 1 H x + m A A A A + Q A A A B I A H A B D b 2 5 m a W c v U G F j a 2 F n Z S 5 4 b W w g o h g A K K A U A A A A A A A A A A A A A A A A A A A A A A A A A A A A h Y + 9 D o I w G E V f h X S n P 4 j G k I 8 y u E p i Q j S u T a n Q C M X Q Y n k 3 B x / J V 5 B E M W y O 9 + Q M 5 7 4 e T 8 j G t g n u q r e 6 M y l i m K J A G d m V 2 l Q p G t w l 3 K K M w 0 H I q 6 h U M M n G J q M t U 1 Q 7 d 0 s I 8 d 5 j v 8 J d X 5 G I U k b O + b 6 Q t W o F + s n 6 v x x q Y 5 0 w U i E O p 0 8 M j 3 A U 4 5 h u 1 p j F l A G Z O e T a L J w p G V M g C w i 7 o X F D r 7 g y 4 b E A M k 8 g 3 x v 8 D V B L A w Q U A A I A C A C B R W V P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U V l T y i K R 7 g O A A A A E Q A A A B M A H A B G b 3 J t d W x h c y 9 T Z W N 0 a W 9 u M S 5 t I K I Y A C i g F A A A A A A A A A A A A A A A A A A A A A A A A A A A A C t O T S 7 J z M 9 T C I b Q h t Y A U E s B A i 0 A F A A C A A g A g U V l T x r 1 H x + m A A A A + Q A A A B I A A A A A A A A A A A A A A A A A A A A A A E N v b m Z p Z y 9 Q Y W N r Y W d l L n h t b F B L A Q I t A B Q A A g A I A I F F Z U 8 P y u m r p A A A A O k A A A A T A A A A A A A A A A A A A A A A A P I A A A B b Q 2 9 u d G V u d F 9 U e X B l c 1 0 u e G 1 s U E s B A i 0 A F A A C A A g A g U V l T y i K R 7 g O A A A A E Q A A A B M A A A A A A A A A A A A A A A A A 4 w E A A E Z v c m 1 1 b G F z L 1 N l Y 3 R p b 2 4 x L m 1 Q S w U G A A A A A A M A A w D C A A A A P g I A A A A A N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S B 4 c 2 k 6 b m l s P S J 0 c n V l I i A v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0 Y y n 0 P n 5 2 R L + C y e D 3 C C K y A A A A A A I A A A A A A B B m A A A A A Q A A I A A A A I J P q p S N y 8 r u c E V d v Q q w g s V R v E 3 4 9 H u 5 K F E s X F m J R + H Y A A A A A A 6 A A A A A A g A A I A A A A N 8 0 m 5 H C N C t m D 3 7 l y d J 1 B T b Z C E 6 l A H M O K 7 h w y v 2 2 m i b 7 U A A A A C A u U P K d V v U + Q L F U 1 O v y i K I P Q S O F 6 c u W 1 F N j i 1 m T b B y t n O J W w k 5 I b U D L I 5 q z d M d G n H + u h 3 q l D G p B l W I n 7 D A 6 k W t 4 I Z g f b g T B 1 g x A D y O B d W g 5 Q A A A A M 9 P o s 9 r Y g l u u H G l s y x Z Z + C w N X R 2 8 2 A x X k f Y 7 G O a K t Q 5 V L L 9 z k 1 m N B t N G c T Q o n O V h j j w / 2 l z m 4 w K U u F S s t t 8 V / o = < / D a t a M a s h u p > 
</file>

<file path=customXml/itemProps1.xml><?xml version="1.0" encoding="utf-8"?>
<ds:datastoreItem xmlns:ds="http://schemas.openxmlformats.org/officeDocument/2006/customXml" ds:itemID="{6D08A1AE-AF1B-4E80-A4D9-193A36A1450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Publication</vt:lpstr>
      <vt:lpstr>Revenues</vt:lpstr>
      <vt:lpstr>Budget Request-General Gov't</vt:lpstr>
      <vt:lpstr>Budget Request-Public Safety</vt:lpstr>
      <vt:lpstr>Budget Request-Public Works</vt:lpstr>
      <vt:lpstr>Budget Request-HHS</vt:lpstr>
      <vt:lpstr>Budget Request-Culture, Rec, Ed</vt:lpstr>
      <vt:lpstr>Budget Request-Dev. &amp; Conserv.</vt:lpstr>
      <vt:lpstr>Budget Request-Debt Service</vt:lpstr>
      <vt:lpstr>Budget Request-Capital Projects</vt:lpstr>
      <vt:lpstr>Budget Request-TID #6</vt:lpstr>
      <vt:lpstr>Budget Request-TID #7</vt:lpstr>
      <vt:lpstr>Budget Request-TID #8</vt:lpstr>
      <vt:lpstr>Budget Request-TID #9</vt:lpstr>
      <vt:lpstr>Budget Request-Water 610</vt:lpstr>
      <vt:lpstr>Budget Request-Sewer 620</vt:lpstr>
      <vt:lpstr>Library</vt:lpstr>
      <vt:lpstr>Publication!Print_Area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Jansen</dc:creator>
  <cp:lastModifiedBy>Krisztina Dommer</cp:lastModifiedBy>
  <cp:lastPrinted>2023-10-02T18:23:35Z</cp:lastPrinted>
  <dcterms:created xsi:type="dcterms:W3CDTF">2019-08-27T13:45:00Z</dcterms:created>
  <dcterms:modified xsi:type="dcterms:W3CDTF">2023-10-20T13:47:18Z</dcterms:modified>
</cp:coreProperties>
</file>